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16" windowWidth="18192" windowHeight="11136" tabRatio="913"/>
  </bookViews>
  <sheets>
    <sheet name="Balance Sheet" sheetId="2" r:id="rId1"/>
    <sheet name="LG&amp;E Provision" sheetId="12" r:id="rId2"/>
    <sheet name="UIGET-LGE" sheetId="13" r:id="rId3"/>
    <sheet name="Reg Asset and Liab" sheetId="14" r:id="rId4"/>
    <sheet name="Reg Asset and Liab 2018-2020" sheetId="18" r:id="rId5"/>
    <sheet name="E&amp;G Splits" sheetId="15" r:id="rId6"/>
    <sheet name="Income Tax Detail - Monthly" sheetId="16" r:id="rId7"/>
    <sheet name="Tax Depr E&amp;G Federal" sheetId="9" r:id="rId8"/>
    <sheet name="Tax Depr E&amp;G State" sheetId="10" r:id="rId9"/>
    <sheet name="Book Depr E&amp;G" sheetId="11" r:id="rId10"/>
  </sheets>
  <definedNames>
    <definedName name="_xlnm._FilterDatabase" localSheetId="5" hidden="1">'E&amp;G Splits'!$A$4:$K$45</definedName>
    <definedName name="_xlnm.Print_Area" localSheetId="0">'Balance Sheet'!$G$4:$BE$172</definedName>
    <definedName name="_xlnm.Print_Titles" localSheetId="0">'Balance Sheet'!$A:$A,'Balance Sheet'!$1:$3</definedName>
    <definedName name="_xlnm.Print_Titles" localSheetId="9">'Book Depr E&amp;G'!$1:$2</definedName>
  </definedNames>
  <calcPr calcId="152511"/>
</workbook>
</file>

<file path=xl/calcChain.xml><?xml version="1.0" encoding="utf-8"?>
<calcChain xmlns="http://schemas.openxmlformats.org/spreadsheetml/2006/main">
  <c r="G143" i="2" l="1"/>
  <c r="G135" i="2"/>
  <c r="G87" i="2"/>
  <c r="G71" i="2"/>
  <c r="AC58" i="18" l="1"/>
  <c r="Q58" i="18"/>
  <c r="N58" i="18"/>
  <c r="K58" i="18"/>
  <c r="N60" i="18" s="1"/>
  <c r="K48" i="18"/>
  <c r="E89" i="14"/>
  <c r="D89" i="14"/>
  <c r="C89" i="14"/>
  <c r="C90" i="14" s="1"/>
  <c r="C41" i="14" s="1"/>
  <c r="D88" i="14"/>
  <c r="C86" i="14"/>
  <c r="C33" i="14" s="1"/>
  <c r="D82" i="14"/>
  <c r="E82" i="14" s="1"/>
  <c r="C76" i="14"/>
  <c r="E76" i="14"/>
  <c r="D76" i="14"/>
  <c r="C72" i="14"/>
  <c r="D72" i="14" s="1"/>
  <c r="E72" i="14" s="1"/>
  <c r="R69" i="14"/>
  <c r="Q69" i="14"/>
  <c r="C65" i="14"/>
  <c r="D65" i="14" s="1"/>
  <c r="E65" i="14" s="1"/>
  <c r="D62" i="14"/>
  <c r="E62" i="14" s="1"/>
  <c r="E61" i="14"/>
  <c r="E70" i="14" s="1"/>
  <c r="D61" i="14"/>
  <c r="D70" i="14" s="1"/>
  <c r="C61" i="14"/>
  <c r="C70" i="14" s="1"/>
  <c r="C69" i="14"/>
  <c r="N69" i="14" s="1"/>
  <c r="N33" i="18" l="1"/>
  <c r="K33" i="18"/>
  <c r="D86" i="14"/>
  <c r="E45" i="14"/>
  <c r="D45" i="14"/>
  <c r="C66" i="14"/>
  <c r="D69" i="14"/>
  <c r="D37" i="14" s="1"/>
  <c r="E86" i="14"/>
  <c r="E88" i="14"/>
  <c r="D90" i="14"/>
  <c r="E69" i="14"/>
  <c r="E37" i="14" s="1"/>
  <c r="C73" i="14"/>
  <c r="D33" i="14" l="1"/>
  <c r="Q29" i="18"/>
  <c r="E33" i="14"/>
  <c r="AC29" i="18"/>
  <c r="AD33" i="18"/>
  <c r="AC33" i="18"/>
  <c r="R33" i="18"/>
  <c r="Q33" i="18"/>
  <c r="D41" i="14"/>
  <c r="Q37" i="18"/>
  <c r="AC41" i="18"/>
  <c r="C78" i="14"/>
  <c r="C75" i="14" s="1"/>
  <c r="O69" i="14"/>
  <c r="D73" i="14"/>
  <c r="D66" i="14"/>
  <c r="P69" i="14"/>
  <c r="E73" i="14"/>
  <c r="E90" i="14"/>
  <c r="E66" i="14"/>
  <c r="E41" i="14" l="1"/>
  <c r="AC37" i="18"/>
  <c r="D78" i="14"/>
  <c r="D75" i="14" s="1"/>
  <c r="E78" i="14"/>
  <c r="E75" i="14" s="1"/>
  <c r="G412" i="2" l="1"/>
  <c r="N466" i="2"/>
  <c r="N424" i="2"/>
  <c r="AA514" i="2"/>
  <c r="B179" i="11"/>
  <c r="C179" i="11"/>
  <c r="B178" i="11"/>
  <c r="D178" i="11"/>
  <c r="Q207" i="2"/>
  <c r="Q223" i="2"/>
  <c r="P223" i="2"/>
  <c r="O223" i="2"/>
  <c r="J220" i="2"/>
  <c r="J321" i="2" s="1"/>
  <c r="G59" i="18"/>
  <c r="F59" i="18"/>
  <c r="E59" i="18"/>
  <c r="AC57" i="18"/>
  <c r="AK57" i="18"/>
  <c r="AK56" i="18" s="1"/>
  <c r="AK59" i="18" s="1"/>
  <c r="AJ57" i="18"/>
  <c r="AJ56" i="18" s="1"/>
  <c r="AJ59" i="18" s="1"/>
  <c r="AH57" i="18"/>
  <c r="AH56" i="18" s="1"/>
  <c r="AH59" i="18" s="1"/>
  <c r="AG57" i="18"/>
  <c r="AG56" i="18" s="1"/>
  <c r="AE57" i="18"/>
  <c r="AD57" i="18"/>
  <c r="AB57" i="18"/>
  <c r="AB56" i="18" s="1"/>
  <c r="AA57" i="18"/>
  <c r="AA56" i="18" s="1"/>
  <c r="AA59" i="18" s="1"/>
  <c r="Y57" i="18"/>
  <c r="Y56" i="18"/>
  <c r="Y59" i="18" s="1"/>
  <c r="X57" i="18"/>
  <c r="X56" i="18" s="1"/>
  <c r="X59" i="18" s="1"/>
  <c r="V57" i="18"/>
  <c r="V56" i="18" s="1"/>
  <c r="V59" i="18" s="1"/>
  <c r="U57" i="18"/>
  <c r="S57" i="18"/>
  <c r="S56" i="18" s="1"/>
  <c r="S59" i="18" s="1"/>
  <c r="R57" i="18"/>
  <c r="P57" i="18"/>
  <c r="P56" i="18" s="1"/>
  <c r="O57" i="18"/>
  <c r="M57" i="18"/>
  <c r="M56" i="18" s="1"/>
  <c r="M59" i="18" s="1"/>
  <c r="L57" i="18"/>
  <c r="L56" i="18" s="1"/>
  <c r="J57" i="18"/>
  <c r="J56" i="18" s="1"/>
  <c r="J59" i="18" s="1"/>
  <c r="I57" i="18"/>
  <c r="I56" i="18"/>
  <c r="I59" i="18" s="1"/>
  <c r="H57" i="18"/>
  <c r="H56" i="18" s="1"/>
  <c r="H59" i="18" s="1"/>
  <c r="D57" i="18"/>
  <c r="C57" i="18"/>
  <c r="C56" i="18" s="1"/>
  <c r="C59" i="18" s="1"/>
  <c r="AG59" i="18"/>
  <c r="AE56" i="18"/>
  <c r="AE59" i="18" s="1"/>
  <c r="AB59" i="18"/>
  <c r="U56" i="18"/>
  <c r="U59" i="18" s="1"/>
  <c r="P59" i="18"/>
  <c r="O56" i="18"/>
  <c r="O59" i="18"/>
  <c r="L59" i="18"/>
  <c r="D56" i="18"/>
  <c r="D59" i="18"/>
  <c r="Z41" i="18"/>
  <c r="T37" i="18"/>
  <c r="W37" i="18" s="1"/>
  <c r="K37" i="18"/>
  <c r="AI33" i="18"/>
  <c r="K29" i="18"/>
  <c r="N29" i="18" s="1"/>
  <c r="J7" i="18"/>
  <c r="J8" i="18" s="1"/>
  <c r="J13" i="18" s="1"/>
  <c r="I7" i="18"/>
  <c r="I8" i="18" s="1"/>
  <c r="I13" i="18" s="1"/>
  <c r="I16" i="18" s="1"/>
  <c r="J207" i="2"/>
  <c r="AN385" i="2"/>
  <c r="AA385" i="2"/>
  <c r="N385" i="2"/>
  <c r="AN460" i="2"/>
  <c r="AN457" i="2"/>
  <c r="AN456" i="2"/>
  <c r="AN455" i="2"/>
  <c r="AN453" i="2"/>
  <c r="AN418" i="2"/>
  <c r="AD418" i="2" s="1"/>
  <c r="AN415" i="2"/>
  <c r="AN414" i="2"/>
  <c r="AN413" i="2"/>
  <c r="AN411" i="2"/>
  <c r="AA552" i="2"/>
  <c r="Z460" i="2" s="1"/>
  <c r="AA549" i="2"/>
  <c r="AA548" i="2"/>
  <c r="AA547" i="2"/>
  <c r="AA545" i="2"/>
  <c r="AA508" i="2"/>
  <c r="AA505" i="2"/>
  <c r="AA504" i="2"/>
  <c r="AA503" i="2"/>
  <c r="AA501" i="2"/>
  <c r="N453" i="2"/>
  <c r="N455" i="2"/>
  <c r="N456" i="2"/>
  <c r="N457" i="2"/>
  <c r="N460" i="2"/>
  <c r="M460" i="2" s="1"/>
  <c r="N411" i="2"/>
  <c r="G411" i="2" s="1"/>
  <c r="N413" i="2"/>
  <c r="G413" i="2" s="1"/>
  <c r="N414" i="2"/>
  <c r="G414" i="2" s="1"/>
  <c r="N415" i="2"/>
  <c r="G415" i="2" s="1"/>
  <c r="N418" i="2"/>
  <c r="G418" i="2" s="1"/>
  <c r="AA384" i="2"/>
  <c r="N323" i="2"/>
  <c r="N365" i="2" s="1"/>
  <c r="H45" i="15"/>
  <c r="AN326" i="2" s="1"/>
  <c r="AN368" i="2" s="1"/>
  <c r="E45" i="15"/>
  <c r="AA326" i="2" s="1"/>
  <c r="AA368" i="2" s="1"/>
  <c r="B45" i="15"/>
  <c r="N326" i="2" s="1"/>
  <c r="N368" i="2" s="1"/>
  <c r="G52" i="2"/>
  <c r="G121" i="2"/>
  <c r="H121" i="2" s="1"/>
  <c r="I121" i="2" s="1"/>
  <c r="C16" i="15"/>
  <c r="B16" i="15" s="1"/>
  <c r="C56" i="10"/>
  <c r="D56" i="10"/>
  <c r="C57" i="10"/>
  <c r="D57" i="10"/>
  <c r="C58" i="10"/>
  <c r="D58" i="10"/>
  <c r="B58" i="10"/>
  <c r="B57" i="10"/>
  <c r="B64" i="10" s="1"/>
  <c r="B56" i="10"/>
  <c r="C53" i="10"/>
  <c r="D53" i="10"/>
  <c r="B53" i="10"/>
  <c r="C55" i="9"/>
  <c r="D55" i="9"/>
  <c r="D58" i="9" s="1"/>
  <c r="C56" i="9"/>
  <c r="D56" i="9"/>
  <c r="C57" i="9"/>
  <c r="D57" i="9"/>
  <c r="B57" i="9"/>
  <c r="B56" i="9"/>
  <c r="B63" i="9" s="1"/>
  <c r="B55" i="9"/>
  <c r="C53" i="9"/>
  <c r="D53" i="9"/>
  <c r="B53" i="9"/>
  <c r="AM214" i="2"/>
  <c r="AJ214" i="2"/>
  <c r="AG214" i="2"/>
  <c r="AD214" i="2"/>
  <c r="AF220" i="2"/>
  <c r="AE220" i="2"/>
  <c r="AE321" i="2" s="1"/>
  <c r="AM268" i="2"/>
  <c r="AJ268" i="2"/>
  <c r="AG268" i="2"/>
  <c r="AH312" i="2"/>
  <c r="AI312" i="2"/>
  <c r="AK312" i="2"/>
  <c r="AM220" i="2"/>
  <c r="AM321" i="2" s="1"/>
  <c r="AJ220" i="2"/>
  <c r="AJ321" i="2" s="1"/>
  <c r="AG220" i="2"/>
  <c r="AG321" i="2" s="1"/>
  <c r="AN250" i="2"/>
  <c r="AN251" i="2"/>
  <c r="AN252" i="2"/>
  <c r="AN253" i="2"/>
  <c r="AN254" i="2"/>
  <c r="AE250" i="2"/>
  <c r="AE306" i="2" s="1"/>
  <c r="AF250" i="2"/>
  <c r="AF306" i="2" s="1"/>
  <c r="AH250" i="2"/>
  <c r="AH306" i="2" s="1"/>
  <c r="AI250" i="2"/>
  <c r="AI306" i="2" s="1"/>
  <c r="AK250" i="2"/>
  <c r="AK306" i="2"/>
  <c r="AL250" i="2"/>
  <c r="AL306" i="2" s="1"/>
  <c r="AE251" i="2"/>
  <c r="AE355" i="2" s="1"/>
  <c r="AF251" i="2"/>
  <c r="AF355" i="2"/>
  <c r="AH251" i="2"/>
  <c r="AH355" i="2" s="1"/>
  <c r="AI251" i="2"/>
  <c r="AI355" i="2" s="1"/>
  <c r="AK251" i="2"/>
  <c r="AK355" i="2"/>
  <c r="AL251" i="2"/>
  <c r="AL355" i="2" s="1"/>
  <c r="AE252" i="2"/>
  <c r="AE307" i="2" s="1"/>
  <c r="AF252" i="2"/>
  <c r="AF307" i="2" s="1"/>
  <c r="AH252" i="2"/>
  <c r="AH307" i="2" s="1"/>
  <c r="AI252" i="2"/>
  <c r="AI307" i="2" s="1"/>
  <c r="AK252" i="2"/>
  <c r="AK307" i="2" s="1"/>
  <c r="AL252" i="2"/>
  <c r="AL307" i="2" s="1"/>
  <c r="AE253" i="2"/>
  <c r="AE308" i="2" s="1"/>
  <c r="AF253" i="2"/>
  <c r="AF308" i="2" s="1"/>
  <c r="AH253" i="2"/>
  <c r="AH308" i="2" s="1"/>
  <c r="AI253" i="2"/>
  <c r="AI308" i="2" s="1"/>
  <c r="AK253" i="2"/>
  <c r="AK308" i="2" s="1"/>
  <c r="AL253" i="2"/>
  <c r="AL308" i="2" s="1"/>
  <c r="AE254" i="2"/>
  <c r="AE309" i="2"/>
  <c r="AF254" i="2"/>
  <c r="AF309" i="2" s="1"/>
  <c r="AH254" i="2"/>
  <c r="AH309" i="2"/>
  <c r="AI254" i="2"/>
  <c r="AI309" i="2" s="1"/>
  <c r="AK254" i="2"/>
  <c r="AK309" i="2" s="1"/>
  <c r="AL254" i="2"/>
  <c r="AL309" i="2" s="1"/>
  <c r="AE267" i="2"/>
  <c r="AM223" i="2"/>
  <c r="AL223" i="2"/>
  <c r="AK223" i="2"/>
  <c r="AJ223" i="2"/>
  <c r="AI223" i="2"/>
  <c r="AH223" i="2"/>
  <c r="AG223" i="2"/>
  <c r="AF223" i="2"/>
  <c r="AE223" i="2"/>
  <c r="AB306" i="2"/>
  <c r="AC306" i="2"/>
  <c r="AB307" i="2"/>
  <c r="AC307" i="2"/>
  <c r="AB308" i="2"/>
  <c r="AC308" i="2"/>
  <c r="AB309" i="2"/>
  <c r="AC309" i="2"/>
  <c r="AD268" i="2"/>
  <c r="AD220" i="2"/>
  <c r="AD223" i="2"/>
  <c r="AC223" i="2"/>
  <c r="AB223" i="2"/>
  <c r="Z220" i="2"/>
  <c r="Z321" i="2" s="1"/>
  <c r="W220" i="2"/>
  <c r="T223" i="2"/>
  <c r="W223" i="2" s="1"/>
  <c r="Z223" i="2" s="1"/>
  <c r="R321" i="2"/>
  <c r="S321" i="2"/>
  <c r="O321" i="2"/>
  <c r="P321" i="2"/>
  <c r="T220" i="2"/>
  <c r="E322" i="2"/>
  <c r="E323" i="2"/>
  <c r="E324" i="2"/>
  <c r="E325" i="2"/>
  <c r="E319" i="2"/>
  <c r="E310" i="2"/>
  <c r="E311" i="2"/>
  <c r="E301" i="2"/>
  <c r="E302" i="2"/>
  <c r="E303" i="2"/>
  <c r="E297" i="2"/>
  <c r="E298" i="2"/>
  <c r="E291" i="2"/>
  <c r="E292" i="2"/>
  <c r="E293" i="2"/>
  <c r="E294" i="2"/>
  <c r="E288" i="2"/>
  <c r="E289" i="2"/>
  <c r="N250" i="2"/>
  <c r="O250" i="2"/>
  <c r="O306" i="2" s="1"/>
  <c r="P250" i="2"/>
  <c r="P306" i="2" s="1"/>
  <c r="R250" i="2"/>
  <c r="R306" i="2" s="1"/>
  <c r="S250" i="2"/>
  <c r="S306" i="2" s="1"/>
  <c r="U250" i="2"/>
  <c r="U306" i="2" s="1"/>
  <c r="V250" i="2"/>
  <c r="V306" i="2" s="1"/>
  <c r="X250" i="2"/>
  <c r="X306" i="2" s="1"/>
  <c r="Y250" i="2"/>
  <c r="Y306" i="2" s="1"/>
  <c r="AA250" i="2"/>
  <c r="N251" i="2"/>
  <c r="O251" i="2"/>
  <c r="O355" i="2" s="1"/>
  <c r="P251" i="2"/>
  <c r="P355" i="2" s="1"/>
  <c r="R251" i="2"/>
  <c r="R355" i="2" s="1"/>
  <c r="S251" i="2"/>
  <c r="U251" i="2"/>
  <c r="V251" i="2"/>
  <c r="V355" i="2" s="1"/>
  <c r="X251" i="2"/>
  <c r="X355" i="2" s="1"/>
  <c r="Y251" i="2"/>
  <c r="AA251" i="2"/>
  <c r="N252" i="2"/>
  <c r="O252" i="2"/>
  <c r="O307" i="2" s="1"/>
  <c r="P252" i="2"/>
  <c r="P307" i="2"/>
  <c r="R252" i="2"/>
  <c r="R307" i="2" s="1"/>
  <c r="S252" i="2"/>
  <c r="S307" i="2" s="1"/>
  <c r="U252" i="2"/>
  <c r="U307" i="2" s="1"/>
  <c r="V252" i="2"/>
  <c r="V307" i="2" s="1"/>
  <c r="X252" i="2"/>
  <c r="X307" i="2" s="1"/>
  <c r="Y252" i="2"/>
  <c r="Y307" i="2" s="1"/>
  <c r="AA252" i="2"/>
  <c r="N253" i="2"/>
  <c r="O253" i="2"/>
  <c r="O308" i="2" s="1"/>
  <c r="P253" i="2"/>
  <c r="P308" i="2" s="1"/>
  <c r="R253" i="2"/>
  <c r="R308" i="2" s="1"/>
  <c r="S253" i="2"/>
  <c r="S308" i="2" s="1"/>
  <c r="U253" i="2"/>
  <c r="U308" i="2" s="1"/>
  <c r="V253" i="2"/>
  <c r="V308" i="2" s="1"/>
  <c r="X253" i="2"/>
  <c r="X308" i="2" s="1"/>
  <c r="Y253" i="2"/>
  <c r="Y308" i="2" s="1"/>
  <c r="AA253" i="2"/>
  <c r="N254" i="2"/>
  <c r="O254" i="2"/>
  <c r="O309" i="2" s="1"/>
  <c r="P254" i="2"/>
  <c r="P309" i="2" s="1"/>
  <c r="R254" i="2"/>
  <c r="R309" i="2" s="1"/>
  <c r="S254" i="2"/>
  <c r="S309" i="2" s="1"/>
  <c r="U254" i="2"/>
  <c r="U309" i="2" s="1"/>
  <c r="V254" i="2"/>
  <c r="V309" i="2"/>
  <c r="X254" i="2"/>
  <c r="X309" i="2" s="1"/>
  <c r="Y254" i="2"/>
  <c r="Y309" i="2" s="1"/>
  <c r="AA254" i="2"/>
  <c r="H33" i="2"/>
  <c r="I33" i="2" s="1"/>
  <c r="H34" i="2"/>
  <c r="I34" i="2" s="1"/>
  <c r="H35" i="2"/>
  <c r="I35" i="2" s="1"/>
  <c r="E307" i="2"/>
  <c r="E308" i="2"/>
  <c r="E309" i="2"/>
  <c r="E306" i="2"/>
  <c r="E314" i="2"/>
  <c r="Q220" i="2"/>
  <c r="Q321" i="2" s="1"/>
  <c r="M220" i="2"/>
  <c r="H107" i="2"/>
  <c r="I107" i="2" s="1"/>
  <c r="H32" i="2"/>
  <c r="I32" i="2" s="1"/>
  <c r="H36" i="2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E321" i="2"/>
  <c r="C16" i="14"/>
  <c r="C17" i="14" s="1"/>
  <c r="J7" i="14"/>
  <c r="J8" i="14" s="1"/>
  <c r="J13" i="14" s="1"/>
  <c r="I7" i="14"/>
  <c r="I8" i="14" s="1"/>
  <c r="I13" i="14" s="1"/>
  <c r="I16" i="14" s="1"/>
  <c r="Z268" i="2"/>
  <c r="Y223" i="2"/>
  <c r="X223" i="2"/>
  <c r="Z214" i="2"/>
  <c r="W268" i="2"/>
  <c r="V223" i="2"/>
  <c r="U223" i="2"/>
  <c r="W214" i="2"/>
  <c r="T268" i="2"/>
  <c r="S223" i="2"/>
  <c r="R223" i="2"/>
  <c r="T214" i="2"/>
  <c r="Q268" i="2"/>
  <c r="Q214" i="2"/>
  <c r="N282" i="2"/>
  <c r="M268" i="2"/>
  <c r="M223" i="2"/>
  <c r="M214" i="2"/>
  <c r="L223" i="2"/>
  <c r="K223" i="2"/>
  <c r="J268" i="2"/>
  <c r="J214" i="2"/>
  <c r="J223" i="2"/>
  <c r="I223" i="2"/>
  <c r="H223" i="2"/>
  <c r="H13" i="2"/>
  <c r="H14" i="2" s="1"/>
  <c r="I13" i="2"/>
  <c r="J14" i="2" s="1"/>
  <c r="J13" i="2"/>
  <c r="K13" i="2"/>
  <c r="L13" i="2"/>
  <c r="M13" i="2"/>
  <c r="G13" i="2"/>
  <c r="G14" i="2"/>
  <c r="H145" i="2"/>
  <c r="I145" i="2" s="1"/>
  <c r="J145" i="2" s="1"/>
  <c r="K145" i="2" s="1"/>
  <c r="L145" i="2" s="1"/>
  <c r="M145" i="2" s="1"/>
  <c r="N145" i="2" s="1"/>
  <c r="O145" i="2" s="1"/>
  <c r="P145" i="2" s="1"/>
  <c r="Q145" i="2" s="1"/>
  <c r="R145" i="2" s="1"/>
  <c r="H114" i="2"/>
  <c r="I114" i="2" s="1"/>
  <c r="J114" i="2" s="1"/>
  <c r="K114" i="2" s="1"/>
  <c r="L114" i="2" s="1"/>
  <c r="M114" i="2" s="1"/>
  <c r="N114" i="2" s="1"/>
  <c r="O114" i="2" s="1"/>
  <c r="P114" i="2" s="1"/>
  <c r="Q114" i="2" s="1"/>
  <c r="R114" i="2" s="1"/>
  <c r="S114" i="2" s="1"/>
  <c r="T114" i="2" s="1"/>
  <c r="U114" i="2" s="1"/>
  <c r="V114" i="2" s="1"/>
  <c r="W114" i="2" s="1"/>
  <c r="X114" i="2" s="1"/>
  <c r="Y114" i="2" s="1"/>
  <c r="Z114" i="2" s="1"/>
  <c r="AA114" i="2" s="1"/>
  <c r="AB114" i="2" s="1"/>
  <c r="AC114" i="2" s="1"/>
  <c r="AD114" i="2" s="1"/>
  <c r="AE114" i="2" s="1"/>
  <c r="H151" i="2"/>
  <c r="I151" i="2" s="1"/>
  <c r="J151" i="2" s="1"/>
  <c r="K151" i="2" s="1"/>
  <c r="L151" i="2" s="1"/>
  <c r="M151" i="2" s="1"/>
  <c r="N151" i="2" s="1"/>
  <c r="O151" i="2" s="1"/>
  <c r="P151" i="2" s="1"/>
  <c r="Q151" i="2" s="1"/>
  <c r="R151" i="2" s="1"/>
  <c r="AQ151" i="2" s="1"/>
  <c r="H150" i="2"/>
  <c r="I150" i="2" s="1"/>
  <c r="J150" i="2" s="1"/>
  <c r="K150" i="2" s="1"/>
  <c r="L150" i="2" s="1"/>
  <c r="M150" i="2" s="1"/>
  <c r="N150" i="2" s="1"/>
  <c r="O150" i="2" s="1"/>
  <c r="P150" i="2" s="1"/>
  <c r="Q150" i="2" s="1"/>
  <c r="R150" i="2" s="1"/>
  <c r="H147" i="2"/>
  <c r="I147" i="2" s="1"/>
  <c r="J147" i="2" s="1"/>
  <c r="K147" i="2" s="1"/>
  <c r="L147" i="2" s="1"/>
  <c r="M147" i="2" s="1"/>
  <c r="N147" i="2" s="1"/>
  <c r="O147" i="2" s="1"/>
  <c r="P147" i="2" s="1"/>
  <c r="Q147" i="2" s="1"/>
  <c r="R147" i="2" s="1"/>
  <c r="S147" i="2" s="1"/>
  <c r="T147" i="2" s="1"/>
  <c r="U147" i="2" s="1"/>
  <c r="V147" i="2" s="1"/>
  <c r="W147" i="2" s="1"/>
  <c r="X147" i="2" s="1"/>
  <c r="Y147" i="2" s="1"/>
  <c r="Z147" i="2" s="1"/>
  <c r="AA147" i="2" s="1"/>
  <c r="AB147" i="2" s="1"/>
  <c r="AC147" i="2" s="1"/>
  <c r="AD147" i="2" s="1"/>
  <c r="AE147" i="2" s="1"/>
  <c r="H41" i="2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H98" i="2"/>
  <c r="I98" i="2" s="1"/>
  <c r="J98" i="2" s="1"/>
  <c r="K98" i="2" s="1"/>
  <c r="L98" i="2" s="1"/>
  <c r="M98" i="2" s="1"/>
  <c r="N98" i="2" s="1"/>
  <c r="O98" i="2" s="1"/>
  <c r="P98" i="2" s="1"/>
  <c r="Q98" i="2" s="1"/>
  <c r="R98" i="2" s="1"/>
  <c r="AQ98" i="2" s="1"/>
  <c r="H97" i="2"/>
  <c r="I97" i="2" s="1"/>
  <c r="J97" i="2" s="1"/>
  <c r="K97" i="2" s="1"/>
  <c r="L97" i="2" s="1"/>
  <c r="M97" i="2" s="1"/>
  <c r="N97" i="2" s="1"/>
  <c r="O97" i="2" s="1"/>
  <c r="P97" i="2" s="1"/>
  <c r="Q97" i="2" s="1"/>
  <c r="R97" i="2" s="1"/>
  <c r="H96" i="2"/>
  <c r="I96" i="2" s="1"/>
  <c r="J96" i="2" s="1"/>
  <c r="K96" i="2" s="1"/>
  <c r="L96" i="2" s="1"/>
  <c r="M96" i="2" s="1"/>
  <c r="N96" i="2" s="1"/>
  <c r="O96" i="2" s="1"/>
  <c r="P96" i="2" s="1"/>
  <c r="Q96" i="2" s="1"/>
  <c r="R96" i="2" s="1"/>
  <c r="H92" i="2"/>
  <c r="I92" i="2" s="1"/>
  <c r="J92" i="2" s="1"/>
  <c r="K92" i="2" s="1"/>
  <c r="L92" i="2" s="1"/>
  <c r="M92" i="2" s="1"/>
  <c r="N92" i="2" s="1"/>
  <c r="O92" i="2" s="1"/>
  <c r="P92" i="2" s="1"/>
  <c r="Q92" i="2" s="1"/>
  <c r="R92" i="2" s="1"/>
  <c r="H76" i="2"/>
  <c r="I76" i="2" s="1"/>
  <c r="J76" i="2" s="1"/>
  <c r="K76" i="2" s="1"/>
  <c r="L76" i="2" s="1"/>
  <c r="M76" i="2" s="1"/>
  <c r="N76" i="2" s="1"/>
  <c r="O76" i="2" s="1"/>
  <c r="P76" i="2" s="1"/>
  <c r="Q76" i="2" s="1"/>
  <c r="R76" i="2" s="1"/>
  <c r="S76" i="2" s="1"/>
  <c r="T76" i="2" s="1"/>
  <c r="U76" i="2" s="1"/>
  <c r="V76" i="2" s="1"/>
  <c r="W76" i="2" s="1"/>
  <c r="X76" i="2" s="1"/>
  <c r="Y76" i="2" s="1"/>
  <c r="Z76" i="2" s="1"/>
  <c r="AA76" i="2" s="1"/>
  <c r="AB76" i="2" s="1"/>
  <c r="AC76" i="2" s="1"/>
  <c r="AD76" i="2" s="1"/>
  <c r="AE76" i="2" s="1"/>
  <c r="H69" i="2"/>
  <c r="I69" i="2" s="1"/>
  <c r="J69" i="2" s="1"/>
  <c r="K69" i="2" s="1"/>
  <c r="L69" i="2" s="1"/>
  <c r="M69" i="2" s="1"/>
  <c r="N69" i="2" s="1"/>
  <c r="O69" i="2" s="1"/>
  <c r="P69" i="2" s="1"/>
  <c r="Q69" i="2" s="1"/>
  <c r="R69" i="2" s="1"/>
  <c r="H99" i="2"/>
  <c r="I99" i="2" s="1"/>
  <c r="J99" i="2" s="1"/>
  <c r="K99" i="2" s="1"/>
  <c r="L99" i="2" s="1"/>
  <c r="M99" i="2" s="1"/>
  <c r="N99" i="2" s="1"/>
  <c r="O99" i="2" s="1"/>
  <c r="P99" i="2" s="1"/>
  <c r="Q99" i="2" s="1"/>
  <c r="R99" i="2" s="1"/>
  <c r="H95" i="2"/>
  <c r="I95" i="2" s="1"/>
  <c r="J95" i="2" s="1"/>
  <c r="K95" i="2" s="1"/>
  <c r="L95" i="2" s="1"/>
  <c r="M95" i="2" s="1"/>
  <c r="N95" i="2" s="1"/>
  <c r="O95" i="2" s="1"/>
  <c r="P95" i="2" s="1"/>
  <c r="Q95" i="2" s="1"/>
  <c r="R95" i="2" s="1"/>
  <c r="H94" i="2"/>
  <c r="I94" i="2" s="1"/>
  <c r="J94" i="2" s="1"/>
  <c r="K94" i="2" s="1"/>
  <c r="L94" i="2" s="1"/>
  <c r="M94" i="2" s="1"/>
  <c r="N94" i="2" s="1"/>
  <c r="O94" i="2" s="1"/>
  <c r="P94" i="2" s="1"/>
  <c r="Q94" i="2" s="1"/>
  <c r="R94" i="2" s="1"/>
  <c r="AQ94" i="2" s="1"/>
  <c r="H93" i="2"/>
  <c r="I93" i="2" s="1"/>
  <c r="J93" i="2" s="1"/>
  <c r="K93" i="2" s="1"/>
  <c r="L93" i="2" s="1"/>
  <c r="M93" i="2" s="1"/>
  <c r="N93" i="2" s="1"/>
  <c r="O93" i="2" s="1"/>
  <c r="P93" i="2" s="1"/>
  <c r="Q93" i="2" s="1"/>
  <c r="R93" i="2" s="1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H85" i="2"/>
  <c r="I85" i="2" s="1"/>
  <c r="J85" i="2" s="1"/>
  <c r="K85" i="2" s="1"/>
  <c r="L85" i="2" s="1"/>
  <c r="M85" i="2" s="1"/>
  <c r="N85" i="2" s="1"/>
  <c r="O85" i="2" s="1"/>
  <c r="P85" i="2" s="1"/>
  <c r="Q85" i="2" s="1"/>
  <c r="R85" i="2" s="1"/>
  <c r="H84" i="2"/>
  <c r="I84" i="2" s="1"/>
  <c r="J84" i="2" s="1"/>
  <c r="K84" i="2" s="1"/>
  <c r="L84" i="2" s="1"/>
  <c r="M84" i="2" s="1"/>
  <c r="N84" i="2" s="1"/>
  <c r="O84" i="2" s="1"/>
  <c r="P84" i="2" s="1"/>
  <c r="Q84" i="2" s="1"/>
  <c r="R84" i="2" s="1"/>
  <c r="S84" i="2" s="1"/>
  <c r="T84" i="2" s="1"/>
  <c r="U84" i="2" s="1"/>
  <c r="V84" i="2" s="1"/>
  <c r="W84" i="2" s="1"/>
  <c r="X84" i="2" s="1"/>
  <c r="Y84" i="2" s="1"/>
  <c r="Z84" i="2" s="1"/>
  <c r="AA84" i="2" s="1"/>
  <c r="AB84" i="2" s="1"/>
  <c r="AC84" i="2" s="1"/>
  <c r="AD84" i="2" s="1"/>
  <c r="AE84" i="2" s="1"/>
  <c r="H83" i="2"/>
  <c r="I83" i="2" s="1"/>
  <c r="J83" i="2" s="1"/>
  <c r="K83" i="2" s="1"/>
  <c r="L83" i="2" s="1"/>
  <c r="M83" i="2" s="1"/>
  <c r="N83" i="2" s="1"/>
  <c r="O83" i="2" s="1"/>
  <c r="P83" i="2" s="1"/>
  <c r="Q83" i="2" s="1"/>
  <c r="R83" i="2" s="1"/>
  <c r="AQ83" i="2" s="1"/>
  <c r="H82" i="2"/>
  <c r="I82" i="2" s="1"/>
  <c r="J82" i="2" s="1"/>
  <c r="K82" i="2" s="1"/>
  <c r="L82" i="2" s="1"/>
  <c r="M82" i="2" s="1"/>
  <c r="N82" i="2" s="1"/>
  <c r="O82" i="2" s="1"/>
  <c r="P82" i="2" s="1"/>
  <c r="Q82" i="2" s="1"/>
  <c r="R82" i="2" s="1"/>
  <c r="S82" i="2" s="1"/>
  <c r="T82" i="2" s="1"/>
  <c r="U82" i="2" s="1"/>
  <c r="V82" i="2" s="1"/>
  <c r="W82" i="2" s="1"/>
  <c r="X82" i="2" s="1"/>
  <c r="Y82" i="2" s="1"/>
  <c r="Z82" i="2" s="1"/>
  <c r="AA82" i="2" s="1"/>
  <c r="AB82" i="2" s="1"/>
  <c r="AC82" i="2" s="1"/>
  <c r="AD82" i="2" s="1"/>
  <c r="AE82" i="2" s="1"/>
  <c r="H78" i="2"/>
  <c r="I78" i="2" s="1"/>
  <c r="J78" i="2" s="1"/>
  <c r="K78" i="2" s="1"/>
  <c r="L78" i="2" s="1"/>
  <c r="M78" i="2" s="1"/>
  <c r="N78" i="2" s="1"/>
  <c r="O78" i="2" s="1"/>
  <c r="P78" i="2" s="1"/>
  <c r="Q78" i="2" s="1"/>
  <c r="R78" i="2" s="1"/>
  <c r="AQ78" i="2" s="1"/>
  <c r="H77" i="2"/>
  <c r="I77" i="2" s="1"/>
  <c r="J77" i="2" s="1"/>
  <c r="K77" i="2" s="1"/>
  <c r="L77" i="2" s="1"/>
  <c r="M77" i="2" s="1"/>
  <c r="N77" i="2" s="1"/>
  <c r="O77" i="2" s="1"/>
  <c r="P77" i="2" s="1"/>
  <c r="Q77" i="2" s="1"/>
  <c r="R77" i="2" s="1"/>
  <c r="S77" i="2" s="1"/>
  <c r="T77" i="2" s="1"/>
  <c r="U77" i="2" s="1"/>
  <c r="V77" i="2" s="1"/>
  <c r="W77" i="2" s="1"/>
  <c r="X77" i="2" s="1"/>
  <c r="Y77" i="2" s="1"/>
  <c r="Z77" i="2" s="1"/>
  <c r="AA77" i="2" s="1"/>
  <c r="AB77" i="2" s="1"/>
  <c r="AC77" i="2" s="1"/>
  <c r="AD77" i="2" s="1"/>
  <c r="AE77" i="2" s="1"/>
  <c r="H75" i="2"/>
  <c r="I75" i="2" s="1"/>
  <c r="J75" i="2" s="1"/>
  <c r="K75" i="2" s="1"/>
  <c r="L75" i="2" s="1"/>
  <c r="M75" i="2" s="1"/>
  <c r="N75" i="2" s="1"/>
  <c r="O75" i="2" s="1"/>
  <c r="P75" i="2" s="1"/>
  <c r="Q75" i="2" s="1"/>
  <c r="R75" i="2" s="1"/>
  <c r="S75" i="2" s="1"/>
  <c r="T75" i="2" s="1"/>
  <c r="U75" i="2" s="1"/>
  <c r="V75" i="2" s="1"/>
  <c r="W75" i="2" s="1"/>
  <c r="X75" i="2" s="1"/>
  <c r="Y75" i="2" s="1"/>
  <c r="Z75" i="2" s="1"/>
  <c r="AA75" i="2" s="1"/>
  <c r="AB75" i="2" s="1"/>
  <c r="AC75" i="2" s="1"/>
  <c r="AD75" i="2" s="1"/>
  <c r="AE75" i="2" s="1"/>
  <c r="AF75" i="2" s="1"/>
  <c r="AG75" i="2" s="1"/>
  <c r="AH75" i="2" s="1"/>
  <c r="AI75" i="2" s="1"/>
  <c r="AJ75" i="2" s="1"/>
  <c r="AK75" i="2" s="1"/>
  <c r="AL75" i="2" s="1"/>
  <c r="AM75" i="2" s="1"/>
  <c r="AN75" i="2" s="1"/>
  <c r="H74" i="2"/>
  <c r="I74" i="2" s="1"/>
  <c r="J74" i="2" s="1"/>
  <c r="K74" i="2" s="1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H66" i="2"/>
  <c r="I66" i="2" s="1"/>
  <c r="J66" i="2" s="1"/>
  <c r="K66" i="2" s="1"/>
  <c r="L66" i="2" s="1"/>
  <c r="M66" i="2" s="1"/>
  <c r="N66" i="2" s="1"/>
  <c r="O66" i="2" s="1"/>
  <c r="P66" i="2" s="1"/>
  <c r="Q66" i="2" s="1"/>
  <c r="R66" i="2" s="1"/>
  <c r="H62" i="2"/>
  <c r="I62" i="2" s="1"/>
  <c r="J62" i="2" s="1"/>
  <c r="K62" i="2" s="1"/>
  <c r="L62" i="2" s="1"/>
  <c r="M62" i="2" s="1"/>
  <c r="N62" i="2" s="1"/>
  <c r="O62" i="2" s="1"/>
  <c r="P62" i="2" s="1"/>
  <c r="Q62" i="2" s="1"/>
  <c r="R62" i="2" s="1"/>
  <c r="S62" i="2" s="1"/>
  <c r="T62" i="2" s="1"/>
  <c r="U62" i="2" s="1"/>
  <c r="V62" i="2" s="1"/>
  <c r="W62" i="2" s="1"/>
  <c r="X62" i="2" s="1"/>
  <c r="Y62" i="2" s="1"/>
  <c r="Z62" i="2" s="1"/>
  <c r="AA62" i="2" s="1"/>
  <c r="AB62" i="2" s="1"/>
  <c r="AC62" i="2" s="1"/>
  <c r="AD62" i="2" s="1"/>
  <c r="AE62" i="2" s="1"/>
  <c r="H61" i="2"/>
  <c r="I61" i="2" s="1"/>
  <c r="J61" i="2" s="1"/>
  <c r="K61" i="2" s="1"/>
  <c r="L61" i="2" s="1"/>
  <c r="M61" i="2" s="1"/>
  <c r="N61" i="2" s="1"/>
  <c r="O61" i="2" s="1"/>
  <c r="P61" i="2" s="1"/>
  <c r="Q61" i="2" s="1"/>
  <c r="R61" i="2" s="1"/>
  <c r="H60" i="2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AD60" i="2" s="1"/>
  <c r="AE60" i="2" s="1"/>
  <c r="H59" i="2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H55" i="2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H54" i="2"/>
  <c r="I54" i="2" s="1"/>
  <c r="J54" i="2" s="1"/>
  <c r="K54" i="2" s="1"/>
  <c r="L54" i="2" s="1"/>
  <c r="H51" i="2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H49" i="2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H47" i="2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H46" i="2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AQ46" i="2" s="1"/>
  <c r="H44" i="2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AQ44" i="2" s="1"/>
  <c r="H40" i="2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H39" i="2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AQ39" i="2" s="1"/>
  <c r="H30" i="2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I228" i="2"/>
  <c r="I229" i="2"/>
  <c r="I231" i="2"/>
  <c r="I232" i="2"/>
  <c r="I233" i="2"/>
  <c r="I234" i="2"/>
  <c r="I236" i="2"/>
  <c r="I239" i="2"/>
  <c r="I241" i="2"/>
  <c r="I242" i="2"/>
  <c r="I244" i="2"/>
  <c r="I246" i="2"/>
  <c r="I249" i="2"/>
  <c r="I255" i="2"/>
  <c r="I256" i="2"/>
  <c r="I258" i="2"/>
  <c r="I260" i="2"/>
  <c r="I261" i="2"/>
  <c r="I262" i="2"/>
  <c r="E46" i="9"/>
  <c r="N314" i="2"/>
  <c r="K215" i="2"/>
  <c r="L215" i="2"/>
  <c r="N215" i="2"/>
  <c r="O215" i="2"/>
  <c r="P215" i="2"/>
  <c r="R215" i="2"/>
  <c r="S215" i="2"/>
  <c r="U215" i="2"/>
  <c r="V215" i="2"/>
  <c r="Y215" i="2"/>
  <c r="AA215" i="2"/>
  <c r="AB215" i="2"/>
  <c r="AC215" i="2"/>
  <c r="AE215" i="2"/>
  <c r="AF215" i="2"/>
  <c r="AH215" i="2"/>
  <c r="AI215" i="2"/>
  <c r="AK215" i="2"/>
  <c r="AL215" i="2"/>
  <c r="AN215" i="2"/>
  <c r="N325" i="2"/>
  <c r="H325" i="2" s="1"/>
  <c r="N322" i="2"/>
  <c r="L322" i="2" s="1"/>
  <c r="N311" i="2"/>
  <c r="N310" i="2"/>
  <c r="L310" i="2" s="1"/>
  <c r="N303" i="2"/>
  <c r="N352" i="2" s="1"/>
  <c r="N302" i="2"/>
  <c r="H302" i="2" s="1"/>
  <c r="N301" i="2"/>
  <c r="L301" i="2" s="1"/>
  <c r="N300" i="2"/>
  <c r="N349" i="2" s="1"/>
  <c r="L349" i="2" s="1"/>
  <c r="N299" i="2"/>
  <c r="N404" i="2" s="1"/>
  <c r="G404" i="2" s="1"/>
  <c r="N298" i="2"/>
  <c r="N403" i="2" s="1"/>
  <c r="G403" i="2" s="1"/>
  <c r="N297" i="2"/>
  <c r="N296" i="2"/>
  <c r="N295" i="2"/>
  <c r="N442" i="2" s="1"/>
  <c r="N294" i="2"/>
  <c r="L294" i="2" s="1"/>
  <c r="N293" i="2"/>
  <c r="N292" i="2"/>
  <c r="K292" i="2" s="1"/>
  <c r="N291" i="2"/>
  <c r="N396" i="2" s="1"/>
  <c r="G396" i="2" s="1"/>
  <c r="N290" i="2"/>
  <c r="L290" i="2" s="1"/>
  <c r="N289" i="2"/>
  <c r="N288" i="2"/>
  <c r="H288" i="2" s="1"/>
  <c r="H68" i="2" s="1"/>
  <c r="N287" i="2"/>
  <c r="N337" i="2" s="1"/>
  <c r="N286" i="2"/>
  <c r="N336" i="2" s="1"/>
  <c r="N285" i="2"/>
  <c r="H285" i="2" s="1"/>
  <c r="N284" i="2"/>
  <c r="H284" i="2" s="1"/>
  <c r="H29" i="2" s="1"/>
  <c r="N283" i="2"/>
  <c r="I283" i="2" s="1"/>
  <c r="K364" i="2"/>
  <c r="L364" i="2"/>
  <c r="AN373" i="2"/>
  <c r="AA373" i="2"/>
  <c r="H6" i="15"/>
  <c r="AN287" i="2" s="1"/>
  <c r="AF287" i="2" s="1"/>
  <c r="E6" i="15"/>
  <c r="AA287" i="2" s="1"/>
  <c r="O287" i="2" s="1"/>
  <c r="C6" i="15"/>
  <c r="H105" i="2"/>
  <c r="I105" i="2" s="1"/>
  <c r="J105" i="2" s="1"/>
  <c r="K105" i="2" s="1"/>
  <c r="L105" i="2" s="1"/>
  <c r="M105" i="2" s="1"/>
  <c r="N105" i="2" s="1"/>
  <c r="O105" i="2" s="1"/>
  <c r="P105" i="2" s="1"/>
  <c r="Q105" i="2" s="1"/>
  <c r="R105" i="2" s="1"/>
  <c r="H108" i="2"/>
  <c r="I108" i="2" s="1"/>
  <c r="J108" i="2" s="1"/>
  <c r="K108" i="2" s="1"/>
  <c r="L108" i="2" s="1"/>
  <c r="M108" i="2" s="1"/>
  <c r="N108" i="2" s="1"/>
  <c r="O108" i="2" s="1"/>
  <c r="P108" i="2" s="1"/>
  <c r="Q108" i="2" s="1"/>
  <c r="R108" i="2" s="1"/>
  <c r="H111" i="2"/>
  <c r="I111" i="2" s="1"/>
  <c r="J111" i="2" s="1"/>
  <c r="K111" i="2" s="1"/>
  <c r="L111" i="2" s="1"/>
  <c r="M111" i="2" s="1"/>
  <c r="N111" i="2" s="1"/>
  <c r="O111" i="2" s="1"/>
  <c r="P111" i="2" s="1"/>
  <c r="Q111" i="2" s="1"/>
  <c r="R111" i="2" s="1"/>
  <c r="S111" i="2" s="1"/>
  <c r="T111" i="2" s="1"/>
  <c r="U111" i="2" s="1"/>
  <c r="V111" i="2" s="1"/>
  <c r="W111" i="2" s="1"/>
  <c r="X111" i="2" s="1"/>
  <c r="Y111" i="2" s="1"/>
  <c r="Z111" i="2" s="1"/>
  <c r="AA111" i="2" s="1"/>
  <c r="AB111" i="2" s="1"/>
  <c r="AC111" i="2" s="1"/>
  <c r="AD111" i="2" s="1"/>
  <c r="AE111" i="2" s="1"/>
  <c r="H112" i="2"/>
  <c r="I112" i="2" s="1"/>
  <c r="J112" i="2" s="1"/>
  <c r="K112" i="2" s="1"/>
  <c r="L112" i="2" s="1"/>
  <c r="M112" i="2" s="1"/>
  <c r="N112" i="2" s="1"/>
  <c r="O112" i="2" s="1"/>
  <c r="P112" i="2" s="1"/>
  <c r="Q112" i="2" s="1"/>
  <c r="R112" i="2" s="1"/>
  <c r="AQ112" i="2" s="1"/>
  <c r="H113" i="2"/>
  <c r="I113" i="2" s="1"/>
  <c r="J113" i="2" s="1"/>
  <c r="K113" i="2" s="1"/>
  <c r="L113" i="2" s="1"/>
  <c r="M113" i="2" s="1"/>
  <c r="N113" i="2" s="1"/>
  <c r="O113" i="2" s="1"/>
  <c r="P113" i="2" s="1"/>
  <c r="Q113" i="2" s="1"/>
  <c r="R113" i="2" s="1"/>
  <c r="H116" i="2"/>
  <c r="I116" i="2" s="1"/>
  <c r="J116" i="2" s="1"/>
  <c r="K116" i="2" s="1"/>
  <c r="L116" i="2" s="1"/>
  <c r="M116" i="2" s="1"/>
  <c r="N116" i="2" s="1"/>
  <c r="O116" i="2" s="1"/>
  <c r="P116" i="2" s="1"/>
  <c r="Q116" i="2" s="1"/>
  <c r="R116" i="2" s="1"/>
  <c r="H118" i="2"/>
  <c r="I118" i="2" s="1"/>
  <c r="J118" i="2" s="1"/>
  <c r="K118" i="2" s="1"/>
  <c r="L118" i="2" s="1"/>
  <c r="M118" i="2" s="1"/>
  <c r="N118" i="2" s="1"/>
  <c r="O118" i="2" s="1"/>
  <c r="P118" i="2" s="1"/>
  <c r="Q118" i="2" s="1"/>
  <c r="R118" i="2" s="1"/>
  <c r="H120" i="2"/>
  <c r="I120" i="2" s="1"/>
  <c r="J120" i="2" s="1"/>
  <c r="K120" i="2" s="1"/>
  <c r="L120" i="2" s="1"/>
  <c r="M120" i="2" s="1"/>
  <c r="N120" i="2" s="1"/>
  <c r="O120" i="2" s="1"/>
  <c r="P120" i="2" s="1"/>
  <c r="Q120" i="2" s="1"/>
  <c r="R120" i="2" s="1"/>
  <c r="H124" i="2"/>
  <c r="I124" i="2" s="1"/>
  <c r="J124" i="2" s="1"/>
  <c r="K124" i="2" s="1"/>
  <c r="L124" i="2" s="1"/>
  <c r="M124" i="2" s="1"/>
  <c r="N124" i="2" s="1"/>
  <c r="O124" i="2" s="1"/>
  <c r="P124" i="2" s="1"/>
  <c r="Q124" i="2" s="1"/>
  <c r="R124" i="2" s="1"/>
  <c r="H125" i="2"/>
  <c r="I125" i="2" s="1"/>
  <c r="J125" i="2" s="1"/>
  <c r="K125" i="2" s="1"/>
  <c r="L125" i="2" s="1"/>
  <c r="M125" i="2" s="1"/>
  <c r="N125" i="2" s="1"/>
  <c r="O125" i="2" s="1"/>
  <c r="P125" i="2" s="1"/>
  <c r="Q125" i="2" s="1"/>
  <c r="R125" i="2" s="1"/>
  <c r="H126" i="2"/>
  <c r="I126" i="2" s="1"/>
  <c r="J126" i="2" s="1"/>
  <c r="K126" i="2" s="1"/>
  <c r="L126" i="2" s="1"/>
  <c r="M126" i="2" s="1"/>
  <c r="N126" i="2" s="1"/>
  <c r="O126" i="2" s="1"/>
  <c r="P126" i="2" s="1"/>
  <c r="Q126" i="2" s="1"/>
  <c r="R126" i="2" s="1"/>
  <c r="H127" i="2"/>
  <c r="I127" i="2" s="1"/>
  <c r="J127" i="2" s="1"/>
  <c r="K127" i="2" s="1"/>
  <c r="L127" i="2" s="1"/>
  <c r="M127" i="2" s="1"/>
  <c r="N127" i="2" s="1"/>
  <c r="O127" i="2" s="1"/>
  <c r="P127" i="2" s="1"/>
  <c r="Q127" i="2" s="1"/>
  <c r="R127" i="2" s="1"/>
  <c r="H131" i="2"/>
  <c r="I131" i="2" s="1"/>
  <c r="J131" i="2" s="1"/>
  <c r="K131" i="2" s="1"/>
  <c r="L131" i="2" s="1"/>
  <c r="M131" i="2" s="1"/>
  <c r="N131" i="2" s="1"/>
  <c r="O131" i="2" s="1"/>
  <c r="P131" i="2" s="1"/>
  <c r="Q131" i="2" s="1"/>
  <c r="R131" i="2" s="1"/>
  <c r="H134" i="2"/>
  <c r="I134" i="2" s="1"/>
  <c r="J134" i="2" s="1"/>
  <c r="K134" i="2" s="1"/>
  <c r="L134" i="2" s="1"/>
  <c r="M134" i="2" s="1"/>
  <c r="N134" i="2" s="1"/>
  <c r="O134" i="2" s="1"/>
  <c r="P134" i="2" s="1"/>
  <c r="Q134" i="2" s="1"/>
  <c r="R134" i="2" s="1"/>
  <c r="S134" i="2" s="1"/>
  <c r="T134" i="2" s="1"/>
  <c r="U134" i="2" s="1"/>
  <c r="V134" i="2" s="1"/>
  <c r="W134" i="2" s="1"/>
  <c r="X134" i="2" s="1"/>
  <c r="Y134" i="2" s="1"/>
  <c r="Z134" i="2" s="1"/>
  <c r="AA134" i="2" s="1"/>
  <c r="AB134" i="2" s="1"/>
  <c r="AC134" i="2" s="1"/>
  <c r="AD134" i="2" s="1"/>
  <c r="AE134" i="2" s="1"/>
  <c r="H136" i="2"/>
  <c r="I136" i="2" s="1"/>
  <c r="J136" i="2" s="1"/>
  <c r="K136" i="2" s="1"/>
  <c r="L136" i="2" s="1"/>
  <c r="M136" i="2" s="1"/>
  <c r="N136" i="2" s="1"/>
  <c r="O136" i="2" s="1"/>
  <c r="P136" i="2" s="1"/>
  <c r="Q136" i="2" s="1"/>
  <c r="R136" i="2" s="1"/>
  <c r="H137" i="2"/>
  <c r="I137" i="2" s="1"/>
  <c r="J137" i="2" s="1"/>
  <c r="K137" i="2" s="1"/>
  <c r="L137" i="2" s="1"/>
  <c r="M137" i="2" s="1"/>
  <c r="N137" i="2" s="1"/>
  <c r="O137" i="2" s="1"/>
  <c r="P137" i="2" s="1"/>
  <c r="Q137" i="2" s="1"/>
  <c r="R137" i="2" s="1"/>
  <c r="H138" i="2"/>
  <c r="I138" i="2" s="1"/>
  <c r="J138" i="2" s="1"/>
  <c r="K138" i="2" s="1"/>
  <c r="L138" i="2" s="1"/>
  <c r="M138" i="2" s="1"/>
  <c r="N138" i="2" s="1"/>
  <c r="O138" i="2" s="1"/>
  <c r="P138" i="2" s="1"/>
  <c r="Q138" i="2" s="1"/>
  <c r="R138" i="2" s="1"/>
  <c r="H139" i="2"/>
  <c r="I139" i="2" s="1"/>
  <c r="J139" i="2" s="1"/>
  <c r="K139" i="2" s="1"/>
  <c r="L139" i="2" s="1"/>
  <c r="M139" i="2" s="1"/>
  <c r="N139" i="2" s="1"/>
  <c r="O139" i="2" s="1"/>
  <c r="P139" i="2" s="1"/>
  <c r="Q139" i="2" s="1"/>
  <c r="R139" i="2" s="1"/>
  <c r="H142" i="2"/>
  <c r="I142" i="2" s="1"/>
  <c r="J142" i="2" s="1"/>
  <c r="K142" i="2" s="1"/>
  <c r="L142" i="2" s="1"/>
  <c r="M142" i="2" s="1"/>
  <c r="N142" i="2" s="1"/>
  <c r="O142" i="2" s="1"/>
  <c r="P142" i="2" s="1"/>
  <c r="Q142" i="2" s="1"/>
  <c r="R142" i="2" s="1"/>
  <c r="H148" i="2"/>
  <c r="I148" i="2" s="1"/>
  <c r="J148" i="2" s="1"/>
  <c r="K148" i="2" s="1"/>
  <c r="L148" i="2" s="1"/>
  <c r="M148" i="2" s="1"/>
  <c r="N148" i="2" s="1"/>
  <c r="O148" i="2" s="1"/>
  <c r="P148" i="2" s="1"/>
  <c r="Q148" i="2" s="1"/>
  <c r="R148" i="2" s="1"/>
  <c r="H149" i="2"/>
  <c r="I149" i="2" s="1"/>
  <c r="J149" i="2" s="1"/>
  <c r="K149" i="2" s="1"/>
  <c r="L149" i="2" s="1"/>
  <c r="M149" i="2" s="1"/>
  <c r="N149" i="2" s="1"/>
  <c r="O149" i="2" s="1"/>
  <c r="P149" i="2" s="1"/>
  <c r="Q149" i="2" s="1"/>
  <c r="R149" i="2" s="1"/>
  <c r="AQ149" i="2" s="1"/>
  <c r="H152" i="2"/>
  <c r="I152" i="2" s="1"/>
  <c r="J152" i="2" s="1"/>
  <c r="K152" i="2" s="1"/>
  <c r="L152" i="2" s="1"/>
  <c r="M152" i="2" s="1"/>
  <c r="N152" i="2" s="1"/>
  <c r="O152" i="2" s="1"/>
  <c r="P152" i="2" s="1"/>
  <c r="Q152" i="2" s="1"/>
  <c r="R152" i="2" s="1"/>
  <c r="S152" i="2" s="1"/>
  <c r="T152" i="2" s="1"/>
  <c r="U152" i="2" s="1"/>
  <c r="V152" i="2" s="1"/>
  <c r="W152" i="2" s="1"/>
  <c r="X152" i="2" s="1"/>
  <c r="Y152" i="2" s="1"/>
  <c r="Z152" i="2" s="1"/>
  <c r="AA152" i="2" s="1"/>
  <c r="AB152" i="2" s="1"/>
  <c r="AC152" i="2" s="1"/>
  <c r="AD152" i="2" s="1"/>
  <c r="AE152" i="2" s="1"/>
  <c r="E328" i="2"/>
  <c r="E327" i="2"/>
  <c r="E326" i="2"/>
  <c r="E320" i="2"/>
  <c r="E318" i="2"/>
  <c r="E317" i="2"/>
  <c r="E316" i="2"/>
  <c r="E315" i="2"/>
  <c r="E313" i="2"/>
  <c r="E312" i="2"/>
  <c r="E305" i="2"/>
  <c r="E304" i="2"/>
  <c r="E300" i="2"/>
  <c r="E299" i="2"/>
  <c r="E296" i="2"/>
  <c r="E295" i="2"/>
  <c r="E290" i="2"/>
  <c r="E287" i="2"/>
  <c r="E286" i="2"/>
  <c r="E285" i="2"/>
  <c r="E284" i="2"/>
  <c r="E283" i="2"/>
  <c r="E282" i="2"/>
  <c r="H38" i="15"/>
  <c r="AN322" i="2" s="1"/>
  <c r="AE322" i="2" s="1"/>
  <c r="E38" i="15"/>
  <c r="AA322" i="2" s="1"/>
  <c r="C38" i="15"/>
  <c r="H37" i="15"/>
  <c r="I37" i="15" s="1"/>
  <c r="E37" i="15"/>
  <c r="AA311" i="2" s="1"/>
  <c r="C37" i="15"/>
  <c r="H36" i="15"/>
  <c r="AN310" i="2" s="1"/>
  <c r="AN458" i="2" s="1"/>
  <c r="E36" i="15"/>
  <c r="AA310" i="2" s="1"/>
  <c r="R310" i="2" s="1"/>
  <c r="C36" i="15"/>
  <c r="H35" i="15"/>
  <c r="AN314" i="2" s="1"/>
  <c r="AN462" i="2" s="1"/>
  <c r="E35" i="15"/>
  <c r="F35" i="15" s="1"/>
  <c r="C35" i="15"/>
  <c r="H19" i="15"/>
  <c r="E19" i="15"/>
  <c r="AA293" i="2" s="1"/>
  <c r="C19" i="15"/>
  <c r="H20" i="15"/>
  <c r="E20" i="15"/>
  <c r="F20" i="15"/>
  <c r="C20" i="15"/>
  <c r="H18" i="15"/>
  <c r="E18" i="15"/>
  <c r="C18" i="15"/>
  <c r="H27" i="15"/>
  <c r="E27" i="15"/>
  <c r="F27" i="15" s="1"/>
  <c r="C27" i="15"/>
  <c r="H43" i="15"/>
  <c r="I43" i="15" s="1"/>
  <c r="E43" i="15"/>
  <c r="C43" i="15"/>
  <c r="H41" i="15"/>
  <c r="I41" i="15" s="1"/>
  <c r="E41" i="15"/>
  <c r="F41" i="15" s="1"/>
  <c r="C41" i="15"/>
  <c r="H32" i="15"/>
  <c r="E32" i="15"/>
  <c r="C32" i="15"/>
  <c r="H31" i="15"/>
  <c r="E31" i="15"/>
  <c r="AA296" i="2" s="1"/>
  <c r="R296" i="2" s="1"/>
  <c r="C31" i="15"/>
  <c r="H30" i="15"/>
  <c r="E30" i="15"/>
  <c r="C30" i="15"/>
  <c r="H29" i="15"/>
  <c r="AN284" i="2" s="1"/>
  <c r="E29" i="15"/>
  <c r="C29" i="15"/>
  <c r="H28" i="15"/>
  <c r="AN289" i="2" s="1"/>
  <c r="E28" i="15"/>
  <c r="AA289" i="2" s="1"/>
  <c r="AA528" i="2" s="1"/>
  <c r="C28" i="15"/>
  <c r="H26" i="15"/>
  <c r="E26" i="15"/>
  <c r="F26" i="15" s="1"/>
  <c r="C26" i="15"/>
  <c r="H25" i="15"/>
  <c r="AN290" i="2" s="1"/>
  <c r="AC290" i="2" s="1"/>
  <c r="E25" i="15"/>
  <c r="C25" i="15"/>
  <c r="H24" i="15"/>
  <c r="E24" i="15"/>
  <c r="AA303" i="2" s="1"/>
  <c r="AA352" i="2" s="1"/>
  <c r="S352" i="2" s="1"/>
  <c r="C24" i="15"/>
  <c r="H23" i="15"/>
  <c r="AN295" i="2" s="1"/>
  <c r="E23" i="15"/>
  <c r="F23" i="15" s="1"/>
  <c r="C23" i="15"/>
  <c r="H22" i="15"/>
  <c r="AN282" i="2"/>
  <c r="AK282" i="2" s="1"/>
  <c r="E22" i="15"/>
  <c r="C22" i="15"/>
  <c r="H21" i="15"/>
  <c r="E21" i="15"/>
  <c r="AA283" i="2" s="1"/>
  <c r="C21" i="15"/>
  <c r="H17" i="15"/>
  <c r="AN291" i="2" s="1"/>
  <c r="E17" i="15"/>
  <c r="C17" i="15"/>
  <c r="H15" i="15"/>
  <c r="I15" i="15" s="1"/>
  <c r="E15" i="15"/>
  <c r="F15" i="15" s="1"/>
  <c r="C15" i="15"/>
  <c r="H12" i="15"/>
  <c r="I12" i="15" s="1"/>
  <c r="E12" i="15"/>
  <c r="F12" i="15" s="1"/>
  <c r="C12" i="15"/>
  <c r="H11" i="15"/>
  <c r="E11" i="15"/>
  <c r="C11" i="15"/>
  <c r="H10" i="15"/>
  <c r="E10" i="15"/>
  <c r="C10" i="15"/>
  <c r="H9" i="15"/>
  <c r="E9" i="15"/>
  <c r="AA301" i="2" s="1"/>
  <c r="O301" i="2" s="1"/>
  <c r="C9" i="15"/>
  <c r="K226" i="2"/>
  <c r="L226" i="2"/>
  <c r="N226" i="2"/>
  <c r="O226" i="2"/>
  <c r="P226" i="2"/>
  <c r="R226" i="2"/>
  <c r="S226" i="2"/>
  <c r="U226" i="2"/>
  <c r="V226" i="2"/>
  <c r="X226" i="2"/>
  <c r="Y226" i="2"/>
  <c r="AA226" i="2"/>
  <c r="AB226" i="2"/>
  <c r="AC226" i="2"/>
  <c r="AE226" i="2"/>
  <c r="AF226" i="2"/>
  <c r="AH226" i="2"/>
  <c r="AI226" i="2"/>
  <c r="AK226" i="2"/>
  <c r="AL226" i="2"/>
  <c r="AN226" i="2"/>
  <c r="K227" i="2"/>
  <c r="L227" i="2"/>
  <c r="N227" i="2"/>
  <c r="O227" i="2"/>
  <c r="P227" i="2"/>
  <c r="R227" i="2"/>
  <c r="S227" i="2"/>
  <c r="U227" i="2"/>
  <c r="V227" i="2"/>
  <c r="X227" i="2"/>
  <c r="Y227" i="2"/>
  <c r="AA227" i="2"/>
  <c r="AB227" i="2"/>
  <c r="AC227" i="2"/>
  <c r="AE227" i="2"/>
  <c r="AF227" i="2"/>
  <c r="AH227" i="2"/>
  <c r="AI227" i="2"/>
  <c r="AK227" i="2"/>
  <c r="AL227" i="2"/>
  <c r="AN227" i="2"/>
  <c r="K228" i="2"/>
  <c r="L228" i="2"/>
  <c r="N228" i="2"/>
  <c r="O228" i="2"/>
  <c r="P228" i="2"/>
  <c r="R228" i="2"/>
  <c r="S228" i="2"/>
  <c r="U228" i="2"/>
  <c r="V228" i="2"/>
  <c r="X228" i="2"/>
  <c r="Y228" i="2"/>
  <c r="AA228" i="2"/>
  <c r="AB228" i="2"/>
  <c r="AC228" i="2"/>
  <c r="AE228" i="2"/>
  <c r="AF228" i="2"/>
  <c r="AH228" i="2"/>
  <c r="AI228" i="2"/>
  <c r="AK228" i="2"/>
  <c r="AL228" i="2"/>
  <c r="AN228" i="2"/>
  <c r="K229" i="2"/>
  <c r="L229" i="2"/>
  <c r="N229" i="2"/>
  <c r="O229" i="2"/>
  <c r="P229" i="2"/>
  <c r="R229" i="2"/>
  <c r="S229" i="2"/>
  <c r="U229" i="2"/>
  <c r="V229" i="2"/>
  <c r="X229" i="2"/>
  <c r="Y229" i="2"/>
  <c r="AA229" i="2"/>
  <c r="AB229" i="2"/>
  <c r="AC229" i="2"/>
  <c r="AE229" i="2"/>
  <c r="AF229" i="2"/>
  <c r="AH229" i="2"/>
  <c r="AI229" i="2"/>
  <c r="AK229" i="2"/>
  <c r="AL229" i="2"/>
  <c r="AN229" i="2"/>
  <c r="K230" i="2"/>
  <c r="L230" i="2"/>
  <c r="N230" i="2"/>
  <c r="O230" i="2"/>
  <c r="P230" i="2"/>
  <c r="R230" i="2"/>
  <c r="S230" i="2"/>
  <c r="U230" i="2"/>
  <c r="V230" i="2"/>
  <c r="X230" i="2"/>
  <c r="Y230" i="2"/>
  <c r="AA230" i="2"/>
  <c r="AB230" i="2"/>
  <c r="AC230" i="2"/>
  <c r="AE230" i="2"/>
  <c r="AF230" i="2"/>
  <c r="AH230" i="2"/>
  <c r="AI230" i="2"/>
  <c r="AK230" i="2"/>
  <c r="AL230" i="2"/>
  <c r="AN230" i="2"/>
  <c r="K231" i="2"/>
  <c r="L231" i="2"/>
  <c r="N231" i="2"/>
  <c r="O231" i="2"/>
  <c r="P231" i="2"/>
  <c r="R231" i="2"/>
  <c r="S231" i="2"/>
  <c r="U231" i="2"/>
  <c r="V231" i="2"/>
  <c r="X231" i="2"/>
  <c r="Y231" i="2"/>
  <c r="AA231" i="2"/>
  <c r="AB231" i="2"/>
  <c r="AC231" i="2"/>
  <c r="AE231" i="2"/>
  <c r="AF231" i="2"/>
  <c r="AH231" i="2"/>
  <c r="AI231" i="2"/>
  <c r="AK231" i="2"/>
  <c r="AL231" i="2"/>
  <c r="AN231" i="2"/>
  <c r="K232" i="2"/>
  <c r="L232" i="2"/>
  <c r="N232" i="2"/>
  <c r="O232" i="2"/>
  <c r="P232" i="2"/>
  <c r="R232" i="2"/>
  <c r="S232" i="2"/>
  <c r="U232" i="2"/>
  <c r="V232" i="2"/>
  <c r="X232" i="2"/>
  <c r="Y232" i="2"/>
  <c r="AA232" i="2"/>
  <c r="AB232" i="2"/>
  <c r="AC232" i="2"/>
  <c r="AE232" i="2"/>
  <c r="AF232" i="2"/>
  <c r="AH232" i="2"/>
  <c r="AI232" i="2"/>
  <c r="AK232" i="2"/>
  <c r="AL232" i="2"/>
  <c r="AN232" i="2"/>
  <c r="K233" i="2"/>
  <c r="L233" i="2"/>
  <c r="N233" i="2"/>
  <c r="O233" i="2"/>
  <c r="P233" i="2"/>
  <c r="R233" i="2"/>
  <c r="S233" i="2"/>
  <c r="U233" i="2"/>
  <c r="V233" i="2"/>
  <c r="X233" i="2"/>
  <c r="Y233" i="2"/>
  <c r="AA233" i="2"/>
  <c r="AB233" i="2"/>
  <c r="AC233" i="2"/>
  <c r="AE233" i="2"/>
  <c r="AF233" i="2"/>
  <c r="AH233" i="2"/>
  <c r="AI233" i="2"/>
  <c r="AK233" i="2"/>
  <c r="AL233" i="2"/>
  <c r="AN233" i="2"/>
  <c r="K234" i="2"/>
  <c r="L234" i="2"/>
  <c r="N234" i="2"/>
  <c r="O234" i="2"/>
  <c r="P234" i="2"/>
  <c r="R234" i="2"/>
  <c r="S234" i="2"/>
  <c r="U234" i="2"/>
  <c r="V234" i="2"/>
  <c r="X234" i="2"/>
  <c r="Y234" i="2"/>
  <c r="AA234" i="2"/>
  <c r="AB234" i="2"/>
  <c r="AC234" i="2"/>
  <c r="AE234" i="2"/>
  <c r="AF234" i="2"/>
  <c r="AH234" i="2"/>
  <c r="AI234" i="2"/>
  <c r="AK234" i="2"/>
  <c r="AL234" i="2"/>
  <c r="AN234" i="2"/>
  <c r="K235" i="2"/>
  <c r="L235" i="2"/>
  <c r="N235" i="2"/>
  <c r="O235" i="2"/>
  <c r="P235" i="2"/>
  <c r="R235" i="2"/>
  <c r="S235" i="2"/>
  <c r="U235" i="2"/>
  <c r="V235" i="2"/>
  <c r="X235" i="2"/>
  <c r="Y235" i="2"/>
  <c r="AA235" i="2"/>
  <c r="AB235" i="2"/>
  <c r="AC235" i="2"/>
  <c r="AE235" i="2"/>
  <c r="AF235" i="2"/>
  <c r="AH235" i="2"/>
  <c r="AI235" i="2"/>
  <c r="AK235" i="2"/>
  <c r="AL235" i="2"/>
  <c r="AN235" i="2"/>
  <c r="K236" i="2"/>
  <c r="L236" i="2"/>
  <c r="N236" i="2"/>
  <c r="O236" i="2"/>
  <c r="P236" i="2"/>
  <c r="R236" i="2"/>
  <c r="S236" i="2"/>
  <c r="U236" i="2"/>
  <c r="V236" i="2"/>
  <c r="X236" i="2"/>
  <c r="Y236" i="2"/>
  <c r="AA236" i="2"/>
  <c r="AB236" i="2"/>
  <c r="AC236" i="2"/>
  <c r="AE236" i="2"/>
  <c r="AF236" i="2"/>
  <c r="AH236" i="2"/>
  <c r="AI236" i="2"/>
  <c r="AK236" i="2"/>
  <c r="AL236" i="2"/>
  <c r="AN236" i="2"/>
  <c r="K237" i="2"/>
  <c r="L237" i="2"/>
  <c r="N237" i="2"/>
  <c r="O237" i="2"/>
  <c r="P237" i="2"/>
  <c r="R237" i="2"/>
  <c r="S237" i="2"/>
  <c r="U237" i="2"/>
  <c r="V237" i="2"/>
  <c r="X237" i="2"/>
  <c r="Y237" i="2"/>
  <c r="AA237" i="2"/>
  <c r="AB237" i="2"/>
  <c r="AC237" i="2"/>
  <c r="AE237" i="2"/>
  <c r="AF237" i="2"/>
  <c r="AH237" i="2"/>
  <c r="AI237" i="2"/>
  <c r="AK237" i="2"/>
  <c r="AL237" i="2"/>
  <c r="AN237" i="2"/>
  <c r="K238" i="2"/>
  <c r="L238" i="2"/>
  <c r="N238" i="2"/>
  <c r="O238" i="2"/>
  <c r="P238" i="2"/>
  <c r="R238" i="2"/>
  <c r="S238" i="2"/>
  <c r="U238" i="2"/>
  <c r="V238" i="2"/>
  <c r="X238" i="2"/>
  <c r="Y238" i="2"/>
  <c r="AA238" i="2"/>
  <c r="AB238" i="2"/>
  <c r="AC238" i="2"/>
  <c r="AE238" i="2"/>
  <c r="AF238" i="2"/>
  <c r="AH238" i="2"/>
  <c r="AI238" i="2"/>
  <c r="AK238" i="2"/>
  <c r="AL238" i="2"/>
  <c r="AN238" i="2"/>
  <c r="K239" i="2"/>
  <c r="L239" i="2"/>
  <c r="N239" i="2"/>
  <c r="O239" i="2"/>
  <c r="P239" i="2"/>
  <c r="R239" i="2"/>
  <c r="S239" i="2"/>
  <c r="U239" i="2"/>
  <c r="V239" i="2"/>
  <c r="X239" i="2"/>
  <c r="Y239" i="2"/>
  <c r="AA239" i="2"/>
  <c r="AB239" i="2"/>
  <c r="AC239" i="2"/>
  <c r="AE239" i="2"/>
  <c r="AF239" i="2"/>
  <c r="AH239" i="2"/>
  <c r="AI239" i="2"/>
  <c r="AK239" i="2"/>
  <c r="AL239" i="2"/>
  <c r="AN239" i="2"/>
  <c r="K240" i="2"/>
  <c r="L240" i="2"/>
  <c r="N240" i="2"/>
  <c r="O240" i="2"/>
  <c r="P240" i="2"/>
  <c r="R240" i="2"/>
  <c r="S240" i="2"/>
  <c r="U240" i="2"/>
  <c r="V240" i="2"/>
  <c r="X240" i="2"/>
  <c r="Y240" i="2"/>
  <c r="AA240" i="2"/>
  <c r="AB240" i="2"/>
  <c r="AC240" i="2"/>
  <c r="AE240" i="2"/>
  <c r="AF240" i="2"/>
  <c r="AH240" i="2"/>
  <c r="AI240" i="2"/>
  <c r="AK240" i="2"/>
  <c r="AL240" i="2"/>
  <c r="AN240" i="2"/>
  <c r="K241" i="2"/>
  <c r="L241" i="2"/>
  <c r="N241" i="2"/>
  <c r="O241" i="2"/>
  <c r="P241" i="2"/>
  <c r="R241" i="2"/>
  <c r="S241" i="2"/>
  <c r="U241" i="2"/>
  <c r="V241" i="2"/>
  <c r="X241" i="2"/>
  <c r="Y241" i="2"/>
  <c r="AA241" i="2"/>
  <c r="AB241" i="2"/>
  <c r="AC241" i="2"/>
  <c r="AE241" i="2"/>
  <c r="AF241" i="2"/>
  <c r="AH241" i="2"/>
  <c r="AI241" i="2"/>
  <c r="AK241" i="2"/>
  <c r="AL241" i="2"/>
  <c r="AN241" i="2"/>
  <c r="K242" i="2"/>
  <c r="L242" i="2"/>
  <c r="N242" i="2"/>
  <c r="O242" i="2"/>
  <c r="P242" i="2"/>
  <c r="R242" i="2"/>
  <c r="S242" i="2"/>
  <c r="U242" i="2"/>
  <c r="V242" i="2"/>
  <c r="X242" i="2"/>
  <c r="Y242" i="2"/>
  <c r="AA242" i="2"/>
  <c r="AB242" i="2"/>
  <c r="AC242" i="2"/>
  <c r="AE242" i="2"/>
  <c r="AF242" i="2"/>
  <c r="AH242" i="2"/>
  <c r="AI242" i="2"/>
  <c r="AK242" i="2"/>
  <c r="AL242" i="2"/>
  <c r="AN242" i="2"/>
  <c r="K243" i="2"/>
  <c r="L243" i="2"/>
  <c r="N243" i="2"/>
  <c r="O243" i="2"/>
  <c r="P243" i="2"/>
  <c r="R243" i="2"/>
  <c r="S243" i="2"/>
  <c r="U243" i="2"/>
  <c r="V243" i="2"/>
  <c r="X243" i="2"/>
  <c r="Y243" i="2"/>
  <c r="AA243" i="2"/>
  <c r="AB243" i="2"/>
  <c r="AC243" i="2"/>
  <c r="AE243" i="2"/>
  <c r="AF243" i="2"/>
  <c r="AH243" i="2"/>
  <c r="AI243" i="2"/>
  <c r="AK243" i="2"/>
  <c r="AL243" i="2"/>
  <c r="AN243" i="2"/>
  <c r="K244" i="2"/>
  <c r="L244" i="2"/>
  <c r="N244" i="2"/>
  <c r="O244" i="2"/>
  <c r="P244" i="2"/>
  <c r="R244" i="2"/>
  <c r="S244" i="2"/>
  <c r="U244" i="2"/>
  <c r="V244" i="2"/>
  <c r="X244" i="2"/>
  <c r="Y244" i="2"/>
  <c r="AA244" i="2"/>
  <c r="AB244" i="2"/>
  <c r="AC244" i="2"/>
  <c r="AE244" i="2"/>
  <c r="AF244" i="2"/>
  <c r="AH244" i="2"/>
  <c r="AI244" i="2"/>
  <c r="AK244" i="2"/>
  <c r="AL244" i="2"/>
  <c r="AN244" i="2"/>
  <c r="K245" i="2"/>
  <c r="L245" i="2"/>
  <c r="N245" i="2"/>
  <c r="O245" i="2"/>
  <c r="P245" i="2"/>
  <c r="R245" i="2"/>
  <c r="S245" i="2"/>
  <c r="U245" i="2"/>
  <c r="V245" i="2"/>
  <c r="X245" i="2"/>
  <c r="Y245" i="2"/>
  <c r="AA245" i="2"/>
  <c r="AB245" i="2"/>
  <c r="AC245" i="2"/>
  <c r="AE245" i="2"/>
  <c r="AF245" i="2"/>
  <c r="AH245" i="2"/>
  <c r="AI245" i="2"/>
  <c r="AK245" i="2"/>
  <c r="AL245" i="2"/>
  <c r="AN245" i="2"/>
  <c r="K246" i="2"/>
  <c r="L246" i="2"/>
  <c r="N246" i="2"/>
  <c r="O246" i="2"/>
  <c r="P246" i="2"/>
  <c r="R246" i="2"/>
  <c r="S246" i="2"/>
  <c r="U246" i="2"/>
  <c r="V246" i="2"/>
  <c r="X246" i="2"/>
  <c r="Y246" i="2"/>
  <c r="AA246" i="2"/>
  <c r="AB246" i="2"/>
  <c r="AC246" i="2"/>
  <c r="AE246" i="2"/>
  <c r="AF246" i="2"/>
  <c r="AH246" i="2"/>
  <c r="AI246" i="2"/>
  <c r="AK246" i="2"/>
  <c r="AL246" i="2"/>
  <c r="AN246" i="2"/>
  <c r="K247" i="2"/>
  <c r="L247" i="2"/>
  <c r="N247" i="2"/>
  <c r="O247" i="2"/>
  <c r="P247" i="2"/>
  <c r="R247" i="2"/>
  <c r="S247" i="2"/>
  <c r="U247" i="2"/>
  <c r="V247" i="2"/>
  <c r="X247" i="2"/>
  <c r="Y247" i="2"/>
  <c r="AA247" i="2"/>
  <c r="AB247" i="2"/>
  <c r="AC247" i="2"/>
  <c r="AE247" i="2"/>
  <c r="AF247" i="2"/>
  <c r="AH247" i="2"/>
  <c r="AI247" i="2"/>
  <c r="AK247" i="2"/>
  <c r="AL247" i="2"/>
  <c r="AN247" i="2"/>
  <c r="K248" i="2"/>
  <c r="L248" i="2"/>
  <c r="N248" i="2"/>
  <c r="O248" i="2"/>
  <c r="P248" i="2"/>
  <c r="R248" i="2"/>
  <c r="S248" i="2"/>
  <c r="U248" i="2"/>
  <c r="V248" i="2"/>
  <c r="X248" i="2"/>
  <c r="Y248" i="2"/>
  <c r="AA248" i="2"/>
  <c r="AB248" i="2"/>
  <c r="AC248" i="2"/>
  <c r="AE248" i="2"/>
  <c r="AF248" i="2"/>
  <c r="AH248" i="2"/>
  <c r="AI248" i="2"/>
  <c r="AK248" i="2"/>
  <c r="AL248" i="2"/>
  <c r="AN248" i="2"/>
  <c r="K249" i="2"/>
  <c r="L249" i="2"/>
  <c r="N249" i="2"/>
  <c r="O249" i="2"/>
  <c r="P249" i="2"/>
  <c r="R249" i="2"/>
  <c r="S249" i="2"/>
  <c r="U249" i="2"/>
  <c r="V249" i="2"/>
  <c r="X249" i="2"/>
  <c r="Y249" i="2"/>
  <c r="AA249" i="2"/>
  <c r="AB249" i="2"/>
  <c r="AC249" i="2"/>
  <c r="AE249" i="2"/>
  <c r="AF249" i="2"/>
  <c r="AH249" i="2"/>
  <c r="AI249" i="2"/>
  <c r="AK249" i="2"/>
  <c r="AL249" i="2"/>
  <c r="AN249" i="2"/>
  <c r="K255" i="2"/>
  <c r="L255" i="2"/>
  <c r="N255" i="2"/>
  <c r="O255" i="2"/>
  <c r="P255" i="2"/>
  <c r="R255" i="2"/>
  <c r="S255" i="2"/>
  <c r="U255" i="2"/>
  <c r="V255" i="2"/>
  <c r="X255" i="2"/>
  <c r="Y255" i="2"/>
  <c r="AA255" i="2"/>
  <c r="AB255" i="2"/>
  <c r="AC255" i="2"/>
  <c r="AE255" i="2"/>
  <c r="AF255" i="2"/>
  <c r="AH255" i="2"/>
  <c r="AI255" i="2"/>
  <c r="AK255" i="2"/>
  <c r="AL255" i="2"/>
  <c r="AN255" i="2"/>
  <c r="K256" i="2"/>
  <c r="L256" i="2"/>
  <c r="N256" i="2"/>
  <c r="O256" i="2"/>
  <c r="P256" i="2"/>
  <c r="R256" i="2"/>
  <c r="S256" i="2"/>
  <c r="U256" i="2"/>
  <c r="V256" i="2"/>
  <c r="X256" i="2"/>
  <c r="Y256" i="2"/>
  <c r="AA256" i="2"/>
  <c r="AB256" i="2"/>
  <c r="AC256" i="2"/>
  <c r="AE256" i="2"/>
  <c r="AF256" i="2"/>
  <c r="AH256" i="2"/>
  <c r="AI256" i="2"/>
  <c r="AK256" i="2"/>
  <c r="AL256" i="2"/>
  <c r="AN256" i="2"/>
  <c r="K258" i="2"/>
  <c r="L258" i="2"/>
  <c r="N258" i="2"/>
  <c r="O258" i="2"/>
  <c r="P258" i="2"/>
  <c r="R258" i="2"/>
  <c r="S258" i="2"/>
  <c r="U258" i="2"/>
  <c r="V258" i="2"/>
  <c r="X258" i="2"/>
  <c r="Y258" i="2"/>
  <c r="AA258" i="2"/>
  <c r="AB258" i="2"/>
  <c r="AC258" i="2"/>
  <c r="AE258" i="2"/>
  <c r="AF258" i="2"/>
  <c r="AH258" i="2"/>
  <c r="AI258" i="2"/>
  <c r="AK258" i="2"/>
  <c r="AL258" i="2"/>
  <c r="AN258" i="2"/>
  <c r="K259" i="2"/>
  <c r="L259" i="2"/>
  <c r="N259" i="2"/>
  <c r="O259" i="2"/>
  <c r="P259" i="2"/>
  <c r="R259" i="2"/>
  <c r="S259" i="2"/>
  <c r="U259" i="2"/>
  <c r="V259" i="2"/>
  <c r="X259" i="2"/>
  <c r="Y259" i="2"/>
  <c r="AA259" i="2"/>
  <c r="AB259" i="2"/>
  <c r="AC259" i="2"/>
  <c r="AE259" i="2"/>
  <c r="AF259" i="2"/>
  <c r="AH259" i="2"/>
  <c r="AI259" i="2"/>
  <c r="AK259" i="2"/>
  <c r="AL259" i="2"/>
  <c r="AN259" i="2"/>
  <c r="K260" i="2"/>
  <c r="L260" i="2"/>
  <c r="N260" i="2"/>
  <c r="O260" i="2"/>
  <c r="P260" i="2"/>
  <c r="R260" i="2"/>
  <c r="S260" i="2"/>
  <c r="U260" i="2"/>
  <c r="V260" i="2"/>
  <c r="X260" i="2"/>
  <c r="Y260" i="2"/>
  <c r="AA260" i="2"/>
  <c r="AB260" i="2"/>
  <c r="AC260" i="2"/>
  <c r="AE260" i="2"/>
  <c r="AF260" i="2"/>
  <c r="AH260" i="2"/>
  <c r="AI260" i="2"/>
  <c r="AK260" i="2"/>
  <c r="AL260" i="2"/>
  <c r="AN260" i="2"/>
  <c r="K261" i="2"/>
  <c r="L261" i="2"/>
  <c r="N261" i="2"/>
  <c r="O261" i="2"/>
  <c r="P261" i="2"/>
  <c r="R261" i="2"/>
  <c r="S261" i="2"/>
  <c r="U261" i="2"/>
  <c r="V261" i="2"/>
  <c r="X261" i="2"/>
  <c r="Y261" i="2"/>
  <c r="AA261" i="2"/>
  <c r="AB261" i="2"/>
  <c r="AC261" i="2"/>
  <c r="AE261" i="2"/>
  <c r="AF261" i="2"/>
  <c r="AH261" i="2"/>
  <c r="AI261" i="2"/>
  <c r="AK261" i="2"/>
  <c r="AL261" i="2"/>
  <c r="AN261" i="2"/>
  <c r="K262" i="2"/>
  <c r="L262" i="2"/>
  <c r="N262" i="2"/>
  <c r="O262" i="2"/>
  <c r="P262" i="2"/>
  <c r="R262" i="2"/>
  <c r="S262" i="2"/>
  <c r="U262" i="2"/>
  <c r="V262" i="2"/>
  <c r="X262" i="2"/>
  <c r="Y262" i="2"/>
  <c r="AA262" i="2"/>
  <c r="AB262" i="2"/>
  <c r="AC262" i="2"/>
  <c r="AE262" i="2"/>
  <c r="AF262" i="2"/>
  <c r="AH262" i="2"/>
  <c r="AI262" i="2"/>
  <c r="AK262" i="2"/>
  <c r="AL262" i="2"/>
  <c r="AN262" i="2"/>
  <c r="A1" i="12"/>
  <c r="E154" i="12"/>
  <c r="D154" i="12"/>
  <c r="C154" i="12"/>
  <c r="G169" i="2"/>
  <c r="G22" i="2" s="1"/>
  <c r="C14" i="2"/>
  <c r="N13" i="2"/>
  <c r="O13" i="2"/>
  <c r="P13" i="2"/>
  <c r="Q13" i="2"/>
  <c r="Q14" i="2" s="1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4" i="2" s="1"/>
  <c r="AE13" i="2"/>
  <c r="BD13" i="2" s="1"/>
  <c r="AF13" i="2"/>
  <c r="AG13" i="2"/>
  <c r="AH13" i="2"/>
  <c r="AH14" i="2" s="1"/>
  <c r="AI13" i="2"/>
  <c r="AJ13" i="2"/>
  <c r="AK13" i="2"/>
  <c r="AL13" i="2"/>
  <c r="AM13" i="2"/>
  <c r="AN13" i="2"/>
  <c r="G19" i="2"/>
  <c r="G20" i="2"/>
  <c r="AN274" i="2"/>
  <c r="AL274" i="2"/>
  <c r="AK274" i="2"/>
  <c r="AI274" i="2"/>
  <c r="AH274" i="2"/>
  <c r="H159" i="2"/>
  <c r="H156" i="2"/>
  <c r="S274" i="2"/>
  <c r="P274" i="2"/>
  <c r="O274" i="2"/>
  <c r="N274" i="2"/>
  <c r="K274" i="2"/>
  <c r="L274" i="2"/>
  <c r="V274" i="2"/>
  <c r="Y274" i="2"/>
  <c r="AB274" i="2"/>
  <c r="AF274" i="2"/>
  <c r="AC274" i="2"/>
  <c r="X274" i="2"/>
  <c r="AA274" i="2"/>
  <c r="N373" i="2"/>
  <c r="AL364" i="2"/>
  <c r="AI364" i="2"/>
  <c r="Y364" i="2"/>
  <c r="AH364" i="2"/>
  <c r="S364" i="2"/>
  <c r="P364" i="2"/>
  <c r="AK364" i="2"/>
  <c r="AC364" i="2"/>
  <c r="X364" i="2"/>
  <c r="AE364" i="2"/>
  <c r="V364" i="2"/>
  <c r="O364" i="2"/>
  <c r="U364" i="2"/>
  <c r="AB364" i="2"/>
  <c r="AF364" i="2"/>
  <c r="R364" i="2"/>
  <c r="G165" i="2"/>
  <c r="G21" i="2" s="1"/>
  <c r="H259" i="2"/>
  <c r="I259" i="2"/>
  <c r="I237" i="2"/>
  <c r="I227" i="2"/>
  <c r="I247" i="2"/>
  <c r="I243" i="2"/>
  <c r="I240" i="2"/>
  <c r="I215" i="2"/>
  <c r="I226" i="2"/>
  <c r="I230" i="2"/>
  <c r="X215" i="2"/>
  <c r="I248" i="2"/>
  <c r="I245" i="2"/>
  <c r="I238" i="2"/>
  <c r="I235" i="2"/>
  <c r="H237" i="2"/>
  <c r="H246" i="2"/>
  <c r="H244" i="2"/>
  <c r="H232" i="2"/>
  <c r="H260" i="2"/>
  <c r="H243" i="2"/>
  <c r="H248" i="2"/>
  <c r="H230" i="2"/>
  <c r="H234" i="2"/>
  <c r="H236" i="2"/>
  <c r="H238" i="2"/>
  <c r="H235" i="2"/>
  <c r="H233" i="2"/>
  <c r="H245" i="2"/>
  <c r="H228" i="2"/>
  <c r="H240" i="2"/>
  <c r="H241" i="2"/>
  <c r="H242" i="2"/>
  <c r="H262" i="2"/>
  <c r="H227" i="2"/>
  <c r="H239" i="2"/>
  <c r="H229" i="2"/>
  <c r="H256" i="2"/>
  <c r="H261" i="2"/>
  <c r="H255" i="2"/>
  <c r="H162" i="2"/>
  <c r="H231" i="2"/>
  <c r="I274" i="2"/>
  <c r="H167" i="2"/>
  <c r="H164" i="2"/>
  <c r="I164" i="2" s="1"/>
  <c r="H168" i="2"/>
  <c r="I168" i="2" s="1"/>
  <c r="H163" i="2"/>
  <c r="I163" i="2" s="1"/>
  <c r="H247" i="2"/>
  <c r="H249" i="2"/>
  <c r="H64" i="2"/>
  <c r="I64" i="2" s="1"/>
  <c r="H258" i="2"/>
  <c r="H88" i="2"/>
  <c r="I88" i="2" s="1"/>
  <c r="H215" i="2"/>
  <c r="H226" i="2"/>
  <c r="H274" i="2"/>
  <c r="H53" i="2"/>
  <c r="I53" i="2" s="1"/>
  <c r="H144" i="2"/>
  <c r="I144" i="2" s="1"/>
  <c r="H122" i="2"/>
  <c r="I122" i="2" s="1"/>
  <c r="Y312" i="2"/>
  <c r="S312" i="2"/>
  <c r="V312" i="2"/>
  <c r="P312" i="2"/>
  <c r="AA356" i="2"/>
  <c r="R356" i="2" s="1"/>
  <c r="U312" i="2"/>
  <c r="R312" i="2"/>
  <c r="O312" i="2"/>
  <c r="X312" i="2"/>
  <c r="AN356" i="2"/>
  <c r="AC312" i="2"/>
  <c r="AB312" i="2"/>
  <c r="L312" i="2"/>
  <c r="N356" i="2"/>
  <c r="K312" i="2"/>
  <c r="I312" i="2"/>
  <c r="H312" i="2"/>
  <c r="H37" i="2" s="1"/>
  <c r="I36" i="15"/>
  <c r="B63" i="10"/>
  <c r="F10" i="15"/>
  <c r="B40" i="15"/>
  <c r="N324" i="2" s="1"/>
  <c r="K324" i="2" s="1"/>
  <c r="C39" i="15"/>
  <c r="F36" i="15"/>
  <c r="F9" i="15"/>
  <c r="AA298" i="2"/>
  <c r="Y298" i="2" s="1"/>
  <c r="AA294" i="2"/>
  <c r="U294" i="2" s="1"/>
  <c r="AN325" i="2"/>
  <c r="AN367" i="2" s="1"/>
  <c r="I22" i="15"/>
  <c r="AN384" i="2"/>
  <c r="C40" i="15"/>
  <c r="N384" i="2"/>
  <c r="C58" i="9"/>
  <c r="D62" i="9"/>
  <c r="O356" i="2"/>
  <c r="B44" i="15"/>
  <c r="H44" i="15" s="1"/>
  <c r="I44" i="15" s="1"/>
  <c r="AF356" i="2"/>
  <c r="AE312" i="2"/>
  <c r="N37" i="18"/>
  <c r="AF42" i="18"/>
  <c r="AB42" i="18"/>
  <c r="AB43" i="18" s="1"/>
  <c r="T42" i="18"/>
  <c r="T43" i="18" s="1"/>
  <c r="L42" i="18"/>
  <c r="L43" i="18" s="1"/>
  <c r="D42" i="18"/>
  <c r="D43" i="18"/>
  <c r="X38" i="18"/>
  <c r="X39" i="18" s="1"/>
  <c r="X22" i="18" s="1"/>
  <c r="T38" i="18"/>
  <c r="T39" i="18" s="1"/>
  <c r="T273" i="2" s="1"/>
  <c r="P38" i="18"/>
  <c r="P39" i="18" s="1"/>
  <c r="P22" i="18" s="1"/>
  <c r="L38" i="18"/>
  <c r="L39" i="18" s="1"/>
  <c r="L22" i="18" s="1"/>
  <c r="H38" i="18"/>
  <c r="H39" i="18" s="1"/>
  <c r="H22" i="18" s="1"/>
  <c r="AL42" i="18"/>
  <c r="AA42" i="18"/>
  <c r="AA43" i="18" s="1"/>
  <c r="Q42" i="18"/>
  <c r="Q43" i="18" s="1"/>
  <c r="F42" i="18"/>
  <c r="F43" i="18" s="1"/>
  <c r="AG38" i="18"/>
  <c r="AG39" i="18" s="1"/>
  <c r="AG22" i="18" s="1"/>
  <c r="V38" i="18"/>
  <c r="V39" i="18" s="1"/>
  <c r="V22" i="18" s="1"/>
  <c r="K38" i="18"/>
  <c r="K39" i="18" s="1"/>
  <c r="AK34" i="18"/>
  <c r="AK35" i="18" s="1"/>
  <c r="AC34" i="18"/>
  <c r="U34" i="18"/>
  <c r="U35" i="18" s="1"/>
  <c r="U272" i="2" s="1"/>
  <c r="U274" i="2" s="1"/>
  <c r="M34" i="18"/>
  <c r="M35" i="18" s="1"/>
  <c r="E34" i="18"/>
  <c r="E35" i="18"/>
  <c r="AK42" i="18"/>
  <c r="AK43" i="18" s="1"/>
  <c r="Z42" i="18"/>
  <c r="Z43" i="18" s="1"/>
  <c r="U42" i="18"/>
  <c r="U43" i="18"/>
  <c r="AK38" i="18"/>
  <c r="AK39" i="18" s="1"/>
  <c r="AK22" i="18" s="1"/>
  <c r="AE38" i="18"/>
  <c r="AE39" i="18" s="1"/>
  <c r="AE22" i="18" s="1"/>
  <c r="J38" i="18"/>
  <c r="J39" i="18" s="1"/>
  <c r="J22" i="18" s="1"/>
  <c r="AF34" i="18"/>
  <c r="AB34" i="18"/>
  <c r="AB35" i="18" s="1"/>
  <c r="T34" i="18"/>
  <c r="L34" i="18"/>
  <c r="L35" i="18" s="1"/>
  <c r="D34" i="18"/>
  <c r="D35" i="18" s="1"/>
  <c r="C34" i="18"/>
  <c r="C35" i="18" s="1"/>
  <c r="K34" i="18"/>
  <c r="K35" i="18" s="1"/>
  <c r="M38" i="18"/>
  <c r="M39" i="18" s="1"/>
  <c r="M22" i="18" s="1"/>
  <c r="AH38" i="18"/>
  <c r="AH39" i="18" s="1"/>
  <c r="AH22" i="18" s="1"/>
  <c r="F43" i="15"/>
  <c r="AN288" i="2"/>
  <c r="AN435" i="2" s="1"/>
  <c r="I27" i="15"/>
  <c r="U355" i="2"/>
  <c r="AA295" i="2"/>
  <c r="P295" i="2" s="1"/>
  <c r="AN303" i="2"/>
  <c r="AN352" i="2" s="1"/>
  <c r="Y355" i="2"/>
  <c r="S355" i="2"/>
  <c r="AL312" i="2"/>
  <c r="AF312" i="2"/>
  <c r="I9" i="15"/>
  <c r="AN301" i="2"/>
  <c r="AH301" i="2" s="1"/>
  <c r="B62" i="9"/>
  <c r="D64" i="10"/>
  <c r="E40" i="15"/>
  <c r="F39" i="15"/>
  <c r="AA323" i="2"/>
  <c r="AA365" i="2" s="1"/>
  <c r="C62" i="9"/>
  <c r="C63" i="9"/>
  <c r="D63" i="9"/>
  <c r="F19" i="15"/>
  <c r="AA299" i="2"/>
  <c r="O299" i="2" s="1"/>
  <c r="F28" i="15"/>
  <c r="AA292" i="2"/>
  <c r="AA487" i="2" s="1"/>
  <c r="AA314" i="2"/>
  <c r="R314" i="2" s="1"/>
  <c r="AN323" i="2"/>
  <c r="AN365" i="2" s="1"/>
  <c r="F31" i="15"/>
  <c r="C59" i="10"/>
  <c r="I29" i="15"/>
  <c r="AA285" i="2"/>
  <c r="S285" i="2" s="1"/>
  <c r="F32" i="15"/>
  <c r="I28" i="15"/>
  <c r="AA286" i="2"/>
  <c r="AA481" i="2" s="1"/>
  <c r="F37" i="15"/>
  <c r="F18" i="15"/>
  <c r="C64" i="9"/>
  <c r="L318" i="2"/>
  <c r="K320" i="2"/>
  <c r="AG207" i="2"/>
  <c r="AG312" i="2" s="1"/>
  <c r="T207" i="2"/>
  <c r="S318" i="2"/>
  <c r="V318" i="2"/>
  <c r="U318" i="2"/>
  <c r="AD312" i="2"/>
  <c r="AF321" i="2"/>
  <c r="X318" i="2"/>
  <c r="O318" i="2"/>
  <c r="Y318" i="2"/>
  <c r="P318" i="2"/>
  <c r="AN298" i="2"/>
  <c r="AN445" i="2" s="1"/>
  <c r="F38" i="15"/>
  <c r="AA302" i="2"/>
  <c r="AA497" i="2" s="1"/>
  <c r="AN286" i="2"/>
  <c r="AN433" i="2" s="1"/>
  <c r="AN293" i="2"/>
  <c r="M321" i="2"/>
  <c r="T321" i="2"/>
  <c r="W321" i="2"/>
  <c r="G34" i="18"/>
  <c r="G35" i="18" s="1"/>
  <c r="AL34" i="18"/>
  <c r="G42" i="18"/>
  <c r="G43" i="18" s="1"/>
  <c r="N38" i="18"/>
  <c r="AH34" i="18"/>
  <c r="AH35" i="18"/>
  <c r="N34" i="18"/>
  <c r="AC42" i="18"/>
  <c r="AC43" i="18" s="1"/>
  <c r="S42" i="18"/>
  <c r="S43" i="18" s="1"/>
  <c r="N42" i="18"/>
  <c r="N43" i="18" s="1"/>
  <c r="AI38" i="18"/>
  <c r="R38" i="18"/>
  <c r="R39" i="18" s="1"/>
  <c r="R22" i="18" s="1"/>
  <c r="Z34" i="18"/>
  <c r="R34" i="18"/>
  <c r="J16" i="18"/>
  <c r="AI42" i="18"/>
  <c r="C42" i="18"/>
  <c r="C43" i="18"/>
  <c r="C38" i="18"/>
  <c r="C39" i="18" s="1"/>
  <c r="C22" i="18" s="1"/>
  <c r="AE34" i="18"/>
  <c r="AE35" i="18"/>
  <c r="O34" i="18"/>
  <c r="O35" i="18" s="1"/>
  <c r="J34" i="18"/>
  <c r="J35" i="18" s="1"/>
  <c r="V34" i="18"/>
  <c r="V35" i="18" s="1"/>
  <c r="AF37" i="18"/>
  <c r="C64" i="10"/>
  <c r="AD321" i="2"/>
  <c r="AL14" i="2"/>
  <c r="AD14" i="2"/>
  <c r="Z30" i="18"/>
  <c r="W30" i="18"/>
  <c r="Q30" i="18"/>
  <c r="AB318" i="2"/>
  <c r="AE320" i="2"/>
  <c r="AL320" i="2"/>
  <c r="AK320" i="2"/>
  <c r="AF320" i="2"/>
  <c r="AI320" i="2"/>
  <c r="AN363" i="2"/>
  <c r="AB363" i="2" s="1"/>
  <c r="S320" i="2"/>
  <c r="R320" i="2"/>
  <c r="U320" i="2"/>
  <c r="Y320" i="2"/>
  <c r="AA558" i="2"/>
  <c r="P320" i="2"/>
  <c r="AA363" i="2"/>
  <c r="O363" i="2" s="1"/>
  <c r="AN466" i="2"/>
  <c r="AH320" i="2"/>
  <c r="X320" i="2"/>
  <c r="V320" i="2"/>
  <c r="AC320" i="2"/>
  <c r="AB320" i="2"/>
  <c r="AN361" i="2"/>
  <c r="AB361" i="2" s="1"/>
  <c r="AI361" i="2"/>
  <c r="L320" i="2"/>
  <c r="N363" i="2"/>
  <c r="L363" i="2" s="1"/>
  <c r="AF58" i="18"/>
  <c r="AE361" i="2"/>
  <c r="AL361" i="2"/>
  <c r="R56" i="18"/>
  <c r="R59" i="18" s="1"/>
  <c r="AF41" i="18"/>
  <c r="AF43" i="18" s="1"/>
  <c r="AF29" i="18"/>
  <c r="AI29" i="18" s="1"/>
  <c r="AK318" i="2"/>
  <c r="AE318" i="2"/>
  <c r="AI318" i="2"/>
  <c r="I162" i="2"/>
  <c r="H165" i="2"/>
  <c r="H21" i="2" s="1"/>
  <c r="O320" i="2"/>
  <c r="N361" i="2"/>
  <c r="L361" i="2" s="1"/>
  <c r="K318" i="2"/>
  <c r="I318" i="2"/>
  <c r="H318" i="2"/>
  <c r="H87" i="2" s="1"/>
  <c r="AH318" i="2"/>
  <c r="AL318" i="2"/>
  <c r="AN424" i="2"/>
  <c r="AC318" i="2"/>
  <c r="AF318" i="2"/>
  <c r="P356" i="2"/>
  <c r="X356" i="2"/>
  <c r="V356" i="2"/>
  <c r="Y356" i="2"/>
  <c r="S356" i="2"/>
  <c r="AA361" i="2"/>
  <c r="S361" i="2" s="1"/>
  <c r="R318" i="2"/>
  <c r="AI356" i="2"/>
  <c r="I264" i="2"/>
  <c r="I266" i="2" s="1"/>
  <c r="I269" i="2" s="1"/>
  <c r="I216" i="2" s="1"/>
  <c r="I217" i="2" s="1"/>
  <c r="I219" i="2" s="1"/>
  <c r="I224" i="2" s="1"/>
  <c r="I276" i="2" s="1"/>
  <c r="W33" i="18"/>
  <c r="I165" i="2"/>
  <c r="I21" i="2" s="1"/>
  <c r="AF361" i="2"/>
  <c r="AC361" i="2"/>
  <c r="AH361" i="2"/>
  <c r="X363" i="2"/>
  <c r="S363" i="2"/>
  <c r="J267" i="2"/>
  <c r="N57" i="18"/>
  <c r="M267" i="2"/>
  <c r="J460" i="2" l="1"/>
  <c r="B64" i="9"/>
  <c r="B65" i="9" s="1"/>
  <c r="D64" i="9"/>
  <c r="D65" i="9" s="1"/>
  <c r="B59" i="10"/>
  <c r="D59" i="10"/>
  <c r="K310" i="2"/>
  <c r="N393" i="2"/>
  <c r="G393" i="2" s="1"/>
  <c r="D180" i="11"/>
  <c r="D185" i="11" s="1"/>
  <c r="D175" i="11"/>
  <c r="B175" i="11"/>
  <c r="C178" i="11"/>
  <c r="C180" i="11"/>
  <c r="C186" i="11" s="1"/>
  <c r="I301" i="2"/>
  <c r="D179" i="11"/>
  <c r="Q460" i="2"/>
  <c r="T460" i="2"/>
  <c r="H292" i="2"/>
  <c r="H79" i="2" s="1"/>
  <c r="AE325" i="2"/>
  <c r="K322" i="2"/>
  <c r="K323" i="2"/>
  <c r="I294" i="2"/>
  <c r="AA522" i="2"/>
  <c r="O283" i="2"/>
  <c r="AN436" i="2"/>
  <c r="AC289" i="2"/>
  <c r="H16" i="15"/>
  <c r="I16" i="15" s="1"/>
  <c r="E16" i="15"/>
  <c r="U322" i="2"/>
  <c r="Y322" i="2"/>
  <c r="AA488" i="2"/>
  <c r="P293" i="2"/>
  <c r="V293" i="2"/>
  <c r="O293" i="2"/>
  <c r="P286" i="2"/>
  <c r="AN340" i="2"/>
  <c r="AK340" i="2" s="1"/>
  <c r="N395" i="2"/>
  <c r="G395" i="2" s="1"/>
  <c r="AA325" i="2"/>
  <c r="W325" i="2" s="1"/>
  <c r="AI290" i="2"/>
  <c r="AI303" i="2"/>
  <c r="I17" i="15"/>
  <c r="I38" i="15"/>
  <c r="K363" i="2"/>
  <c r="R363" i="2"/>
  <c r="AK361" i="2"/>
  <c r="N458" i="2"/>
  <c r="I87" i="2"/>
  <c r="J87" i="2" s="1"/>
  <c r="AA490" i="2"/>
  <c r="AD325" i="2"/>
  <c r="AN311" i="2"/>
  <c r="AF311" i="2" s="1"/>
  <c r="I25" i="15"/>
  <c r="U293" i="2"/>
  <c r="X361" i="2"/>
  <c r="N407" i="2"/>
  <c r="G407" i="2" s="1"/>
  <c r="AA288" i="2"/>
  <c r="P288" i="2" s="1"/>
  <c r="L302" i="2"/>
  <c r="F24" i="15"/>
  <c r="N340" i="2"/>
  <c r="K340" i="2" s="1"/>
  <c r="AH367" i="2"/>
  <c r="AM367" i="2"/>
  <c r="AK325" i="2"/>
  <c r="O314" i="2"/>
  <c r="P296" i="2"/>
  <c r="U289" i="2"/>
  <c r="L287" i="2"/>
  <c r="AA525" i="2"/>
  <c r="AB289" i="2"/>
  <c r="AA339" i="2"/>
  <c r="X339" i="2" s="1"/>
  <c r="AL303" i="2"/>
  <c r="AK314" i="2"/>
  <c r="L324" i="2"/>
  <c r="L323" i="2" s="1"/>
  <c r="I299" i="2"/>
  <c r="L303" i="2"/>
  <c r="AF289" i="2"/>
  <c r="O289" i="2"/>
  <c r="V289" i="2"/>
  <c r="I300" i="2"/>
  <c r="AL325" i="2"/>
  <c r="N366" i="2"/>
  <c r="M366" i="2" s="1"/>
  <c r="Y296" i="2"/>
  <c r="W460" i="2"/>
  <c r="N389" i="2"/>
  <c r="G389" i="2" s="1"/>
  <c r="N397" i="2"/>
  <c r="G397" i="2" s="1"/>
  <c r="N446" i="2"/>
  <c r="AL314" i="2"/>
  <c r="X314" i="2"/>
  <c r="X283" i="2"/>
  <c r="Y293" i="2"/>
  <c r="AA345" i="2"/>
  <c r="R345" i="2" s="1"/>
  <c r="L352" i="2"/>
  <c r="H352" i="2"/>
  <c r="H141" i="2" s="1"/>
  <c r="L295" i="2"/>
  <c r="L291" i="2"/>
  <c r="L299" i="2"/>
  <c r="X289" i="2"/>
  <c r="AK298" i="2"/>
  <c r="K295" i="2"/>
  <c r="H299" i="2"/>
  <c r="H31" i="2" s="1"/>
  <c r="I31" i="2" s="1"/>
  <c r="AA535" i="2"/>
  <c r="V322" i="2"/>
  <c r="AH322" i="2"/>
  <c r="AL298" i="2"/>
  <c r="AB282" i="2"/>
  <c r="K325" i="2"/>
  <c r="O298" i="2"/>
  <c r="X298" i="2"/>
  <c r="K288" i="2"/>
  <c r="AA491" i="2"/>
  <c r="O295" i="2"/>
  <c r="N392" i="2"/>
  <c r="G392" i="2" s="1"/>
  <c r="AK286" i="2"/>
  <c r="K283" i="2"/>
  <c r="AC314" i="2"/>
  <c r="S314" i="2"/>
  <c r="R283" i="2"/>
  <c r="S293" i="2"/>
  <c r="X301" i="2"/>
  <c r="X322" i="2"/>
  <c r="I325" i="2"/>
  <c r="R294" i="2"/>
  <c r="H290" i="2"/>
  <c r="H45" i="2" s="1"/>
  <c r="AA550" i="2"/>
  <c r="AA534" i="2"/>
  <c r="AL322" i="2"/>
  <c r="N351" i="2"/>
  <c r="K351" i="2" s="1"/>
  <c r="N445" i="2"/>
  <c r="V310" i="2"/>
  <c r="I352" i="2"/>
  <c r="L298" i="2"/>
  <c r="N434" i="2"/>
  <c r="N437" i="2"/>
  <c r="AL289" i="2"/>
  <c r="AA336" i="2"/>
  <c r="S336" i="2" s="1"/>
  <c r="S322" i="2"/>
  <c r="K352" i="2"/>
  <c r="AA484" i="2"/>
  <c r="AK289" i="2"/>
  <c r="AN394" i="2"/>
  <c r="L325" i="2"/>
  <c r="H294" i="2"/>
  <c r="H80" i="2" s="1"/>
  <c r="N347" i="2"/>
  <c r="I347" i="2" s="1"/>
  <c r="AA554" i="2"/>
  <c r="AB322" i="2"/>
  <c r="K302" i="2"/>
  <c r="J325" i="2"/>
  <c r="Y294" i="2"/>
  <c r="R295" i="2"/>
  <c r="AE288" i="2"/>
  <c r="V298" i="2"/>
  <c r="R285" i="2"/>
  <c r="I290" i="2"/>
  <c r="AA489" i="2"/>
  <c r="AI322" i="2"/>
  <c r="N441" i="2"/>
  <c r="H298" i="2"/>
  <c r="I298" i="2"/>
  <c r="K294" i="2"/>
  <c r="X292" i="2"/>
  <c r="U296" i="2"/>
  <c r="U295" i="2"/>
  <c r="I287" i="2"/>
  <c r="AA347" i="2"/>
  <c r="V347" i="2" s="1"/>
  <c r="AH289" i="2"/>
  <c r="AA533" i="2"/>
  <c r="U314" i="2"/>
  <c r="AA510" i="2"/>
  <c r="N344" i="2"/>
  <c r="S294" i="2"/>
  <c r="N400" i="2"/>
  <c r="G400" i="2" s="1"/>
  <c r="H303" i="2"/>
  <c r="H81" i="2" s="1"/>
  <c r="K298" i="2"/>
  <c r="S296" i="2"/>
  <c r="K290" i="2"/>
  <c r="S298" i="2"/>
  <c r="N348" i="2"/>
  <c r="N399" i="2"/>
  <c r="G399" i="2" s="1"/>
  <c r="AE289" i="2"/>
  <c r="Y286" i="2"/>
  <c r="V296" i="2"/>
  <c r="AA494" i="2"/>
  <c r="O322" i="2"/>
  <c r="P322" i="2"/>
  <c r="H295" i="2"/>
  <c r="H57" i="2" s="1"/>
  <c r="H287" i="2"/>
  <c r="H86" i="2" s="1"/>
  <c r="AA537" i="2"/>
  <c r="AN339" i="2"/>
  <c r="AE339" i="2" s="1"/>
  <c r="AC322" i="2"/>
  <c r="N449" i="2"/>
  <c r="AA532" i="2"/>
  <c r="I302" i="2"/>
  <c r="I295" i="2"/>
  <c r="C65" i="9"/>
  <c r="C68" i="9"/>
  <c r="AI310" i="2"/>
  <c r="AC310" i="2"/>
  <c r="AB310" i="2"/>
  <c r="AK310" i="2"/>
  <c r="AH310" i="2"/>
  <c r="I11" i="15"/>
  <c r="AN297" i="2"/>
  <c r="AI297" i="2" s="1"/>
  <c r="F17" i="15"/>
  <c r="AA291" i="2"/>
  <c r="R291" i="2" s="1"/>
  <c r="I21" i="15"/>
  <c r="AN283" i="2"/>
  <c r="AC283" i="2" s="1"/>
  <c r="H361" i="2"/>
  <c r="H143" i="2" s="1"/>
  <c r="K361" i="2"/>
  <c r="AN442" i="2"/>
  <c r="AE295" i="2"/>
  <c r="AL295" i="2"/>
  <c r="AI352" i="2"/>
  <c r="AL352" i="2"/>
  <c r="AA350" i="2"/>
  <c r="Y350" i="2" s="1"/>
  <c r="R301" i="2"/>
  <c r="AA496" i="2"/>
  <c r="AA540" i="2"/>
  <c r="U287" i="2"/>
  <c r="X287" i="2"/>
  <c r="AA337" i="2"/>
  <c r="R337" i="2" s="1"/>
  <c r="AA482" i="2"/>
  <c r="I31" i="15"/>
  <c r="N432" i="2"/>
  <c r="N390" i="2"/>
  <c r="G390" i="2" s="1"/>
  <c r="K301" i="2"/>
  <c r="N350" i="2"/>
  <c r="H350" i="2" s="1"/>
  <c r="K311" i="2"/>
  <c r="H311" i="2"/>
  <c r="N417" i="2"/>
  <c r="G417" i="2" s="1"/>
  <c r="H52" i="2"/>
  <c r="I52" i="2" s="1"/>
  <c r="G100" i="2"/>
  <c r="G9" i="2" s="1"/>
  <c r="P361" i="2"/>
  <c r="I361" i="2"/>
  <c r="AK295" i="2"/>
  <c r="N406" i="2"/>
  <c r="G406" i="2" s="1"/>
  <c r="AB293" i="2"/>
  <c r="AC293" i="2"/>
  <c r="AE293" i="2"/>
  <c r="AN440" i="2"/>
  <c r="AA526" i="2"/>
  <c r="AN347" i="2"/>
  <c r="AB347" i="2" s="1"/>
  <c r="AB298" i="2"/>
  <c r="AH298" i="2"/>
  <c r="AE298" i="2"/>
  <c r="U301" i="2"/>
  <c r="D68" i="9"/>
  <c r="Y311" i="2"/>
  <c r="AA551" i="2"/>
  <c r="X295" i="2"/>
  <c r="V295" i="2"/>
  <c r="AA344" i="2"/>
  <c r="S344" i="2" s="1"/>
  <c r="S295" i="2"/>
  <c r="AH288" i="2"/>
  <c r="AN338" i="2"/>
  <c r="AL338" i="2" s="1"/>
  <c r="AK288" i="2"/>
  <c r="AN393" i="2"/>
  <c r="AB288" i="2"/>
  <c r="AN296" i="2"/>
  <c r="F6" i="15"/>
  <c r="AN332" i="2"/>
  <c r="AF332" i="2" s="1"/>
  <c r="AN387" i="2"/>
  <c r="AE282" i="2"/>
  <c r="AH282" i="2"/>
  <c r="AN429" i="2"/>
  <c r="I23" i="15"/>
  <c r="F29" i="15"/>
  <c r="AA284" i="2"/>
  <c r="O284" i="2" s="1"/>
  <c r="I30" i="15"/>
  <c r="AN300" i="2"/>
  <c r="AF300" i="2" s="1"/>
  <c r="O361" i="2"/>
  <c r="N448" i="2"/>
  <c r="N335" i="2"/>
  <c r="H335" i="2" s="1"/>
  <c r="H129" i="2" s="1"/>
  <c r="AN416" i="2"/>
  <c r="AE310" i="2"/>
  <c r="O292" i="2"/>
  <c r="Y292" i="2"/>
  <c r="AA324" i="2"/>
  <c r="S324" i="2" s="1"/>
  <c r="S323" i="2" s="1"/>
  <c r="S327" i="2" s="1"/>
  <c r="F40" i="15"/>
  <c r="B68" i="9"/>
  <c r="AN420" i="2"/>
  <c r="AE314" i="2"/>
  <c r="AI314" i="2"/>
  <c r="I10" i="15"/>
  <c r="AN302" i="2"/>
  <c r="AE302" i="2" s="1"/>
  <c r="AA478" i="2"/>
  <c r="U283" i="2"/>
  <c r="AA333" i="2"/>
  <c r="Y333" i="2" s="1"/>
  <c r="V283" i="2"/>
  <c r="AI301" i="2"/>
  <c r="AL301" i="2"/>
  <c r="AN448" i="2"/>
  <c r="AF301" i="2"/>
  <c r="AN406" i="2"/>
  <c r="AN408" i="2"/>
  <c r="AN450" i="2"/>
  <c r="AC303" i="2"/>
  <c r="E44" i="15"/>
  <c r="N319" i="2"/>
  <c r="J319" i="2" s="1"/>
  <c r="C44" i="15"/>
  <c r="AB325" i="2"/>
  <c r="AC325" i="2"/>
  <c r="AJ325" i="2"/>
  <c r="AF325" i="2"/>
  <c r="F21" i="15"/>
  <c r="I24" i="15"/>
  <c r="F30" i="15"/>
  <c r="AA300" i="2"/>
  <c r="O300" i="2" s="1"/>
  <c r="AN285" i="2"/>
  <c r="AB285" i="2" s="1"/>
  <c r="I32" i="15"/>
  <c r="I18" i="15"/>
  <c r="AN292" i="2"/>
  <c r="AE292" i="2" s="1"/>
  <c r="I20" i="15"/>
  <c r="AN294" i="2"/>
  <c r="AC294" i="2" s="1"/>
  <c r="I19" i="15"/>
  <c r="I35" i="15"/>
  <c r="N334" i="2"/>
  <c r="H334" i="2" s="1"/>
  <c r="N431" i="2"/>
  <c r="K296" i="2"/>
  <c r="N401" i="2"/>
  <c r="G401" i="2" s="1"/>
  <c r="L296" i="2"/>
  <c r="N345" i="2"/>
  <c r="H345" i="2" s="1"/>
  <c r="H119" i="2" s="1"/>
  <c r="N443" i="2"/>
  <c r="I284" i="2"/>
  <c r="I29" i="2" s="1"/>
  <c r="C185" i="11"/>
  <c r="AE301" i="2"/>
  <c r="AG325" i="2"/>
  <c r="AH325" i="2"/>
  <c r="H91" i="2"/>
  <c r="T30" i="18"/>
  <c r="AC30" i="18"/>
  <c r="AC31" i="18" s="1"/>
  <c r="AK30" i="18"/>
  <c r="AK31" i="18" s="1"/>
  <c r="T312" i="2"/>
  <c r="W207" i="2"/>
  <c r="C67" i="9"/>
  <c r="E33" i="15" s="1"/>
  <c r="F33" i="15" s="1"/>
  <c r="K22" i="18"/>
  <c r="J273" i="2"/>
  <c r="B65" i="10"/>
  <c r="B66" i="10" s="1"/>
  <c r="W14" i="2"/>
  <c r="V14" i="2"/>
  <c r="AF314" i="2"/>
  <c r="U264" i="2"/>
  <c r="U266" i="2" s="1"/>
  <c r="U269" i="2" s="1"/>
  <c r="U216" i="2" s="1"/>
  <c r="U217" i="2" s="1"/>
  <c r="U219" i="2" s="1"/>
  <c r="U224" i="2" s="1"/>
  <c r="S310" i="2"/>
  <c r="P310" i="2"/>
  <c r="O310" i="2"/>
  <c r="Y310" i="2"/>
  <c r="AI325" i="2"/>
  <c r="B69" i="10"/>
  <c r="AN304" i="2"/>
  <c r="AK304" i="2" s="1"/>
  <c r="K284" i="2"/>
  <c r="AM325" i="2"/>
  <c r="T356" i="2"/>
  <c r="U356" i="2"/>
  <c r="AA493" i="2"/>
  <c r="N304" i="2"/>
  <c r="L304" i="2" s="1"/>
  <c r="AK322" i="2"/>
  <c r="AF322" i="2"/>
  <c r="AA343" i="2"/>
  <c r="R293" i="2"/>
  <c r="X293" i="2"/>
  <c r="C175" i="11"/>
  <c r="AN434" i="2"/>
  <c r="I6" i="15"/>
  <c r="P298" i="2"/>
  <c r="V294" i="2"/>
  <c r="AI289" i="2"/>
  <c r="P283" i="2"/>
  <c r="F11" i="15"/>
  <c r="AA297" i="2"/>
  <c r="F22" i="15"/>
  <c r="AA282" i="2"/>
  <c r="X282" i="2" s="1"/>
  <c r="AN299" i="2"/>
  <c r="AC299" i="2" s="1"/>
  <c r="I26" i="15"/>
  <c r="L14" i="2"/>
  <c r="B58" i="9"/>
  <c r="C63" i="10"/>
  <c r="M14" i="2"/>
  <c r="I282" i="2"/>
  <c r="J16" i="14"/>
  <c r="C46" i="14"/>
  <c r="C47" i="14" s="1"/>
  <c r="E38" i="14"/>
  <c r="E39" i="14" s="1"/>
  <c r="E42" i="14"/>
  <c r="E43" i="14" s="1"/>
  <c r="E26" i="14" s="1"/>
  <c r="D38" i="14"/>
  <c r="D39" i="14" s="1"/>
  <c r="E46" i="14"/>
  <c r="E47" i="14" s="1"/>
  <c r="D42" i="14"/>
  <c r="D43" i="14" s="1"/>
  <c r="D26" i="14" s="1"/>
  <c r="C38" i="14"/>
  <c r="C39" i="14" s="1"/>
  <c r="D46" i="14"/>
  <c r="D47" i="14" s="1"/>
  <c r="C42" i="14"/>
  <c r="C43" i="14" s="1"/>
  <c r="C26" i="14" s="1"/>
  <c r="H40" i="15"/>
  <c r="I39" i="15"/>
  <c r="AJ42" i="18"/>
  <c r="AJ43" i="18" s="1"/>
  <c r="AF38" i="18"/>
  <c r="AF39" i="18" s="1"/>
  <c r="Q38" i="18"/>
  <c r="Q39" i="18" s="1"/>
  <c r="AG34" i="18"/>
  <c r="AG35" i="18" s="1"/>
  <c r="I34" i="18"/>
  <c r="I35" i="18" s="1"/>
  <c r="AE42" i="18"/>
  <c r="AE43" i="18" s="1"/>
  <c r="J42" i="18"/>
  <c r="J43" i="18" s="1"/>
  <c r="U38" i="18"/>
  <c r="U39" i="18" s="1"/>
  <c r="U22" i="18" s="1"/>
  <c r="E38" i="18"/>
  <c r="E39" i="18" s="1"/>
  <c r="E22" i="18" s="1"/>
  <c r="X34" i="18"/>
  <c r="X35" i="18" s="1"/>
  <c r="AA34" i="18"/>
  <c r="AA35" i="18" s="1"/>
  <c r="W42" i="18"/>
  <c r="W43" i="18" s="1"/>
  <c r="S286" i="2"/>
  <c r="R289" i="2"/>
  <c r="U299" i="2"/>
  <c r="I37" i="2"/>
  <c r="AH314" i="2"/>
  <c r="AB314" i="2"/>
  <c r="V314" i="2"/>
  <c r="P314" i="2"/>
  <c r="K314" i="2"/>
  <c r="S311" i="2"/>
  <c r="AL310" i="2"/>
  <c r="AF310" i="2"/>
  <c r="U310" i="2"/>
  <c r="V301" i="2"/>
  <c r="L300" i="2"/>
  <c r="Y299" i="2"/>
  <c r="U298" i="2"/>
  <c r="P289" i="2"/>
  <c r="AI288" i="2"/>
  <c r="AC288" i="2"/>
  <c r="L288" i="2"/>
  <c r="AF286" i="2"/>
  <c r="U286" i="2"/>
  <c r="O286" i="2"/>
  <c r="F25" i="15"/>
  <c r="AA290" i="2"/>
  <c r="AA340" i="2" s="1"/>
  <c r="D63" i="10"/>
  <c r="G153" i="2"/>
  <c r="G18" i="2" s="1"/>
  <c r="B180" i="11"/>
  <c r="B181" i="11" s="1"/>
  <c r="H282" i="2"/>
  <c r="H56" i="2" s="1"/>
  <c r="AN14" i="2"/>
  <c r="AG14" i="2"/>
  <c r="AB14" i="2"/>
  <c r="Y14" i="2"/>
  <c r="P303" i="2"/>
  <c r="K303" i="2"/>
  <c r="AK301" i="2"/>
  <c r="S301" i="2"/>
  <c r="K299" i="2"/>
  <c r="AI298" i="2"/>
  <c r="X294" i="2"/>
  <c r="AL288" i="2"/>
  <c r="AF288" i="2"/>
  <c r="AH287" i="2"/>
  <c r="AB287" i="2"/>
  <c r="V287" i="2"/>
  <c r="R286" i="2"/>
  <c r="L284" i="2"/>
  <c r="Y283" i="2"/>
  <c r="S283" i="2"/>
  <c r="AF282" i="2"/>
  <c r="AK23" i="18"/>
  <c r="AK24" i="18" s="1"/>
  <c r="AK45" i="18"/>
  <c r="AK53" i="18" s="1"/>
  <c r="N30" i="18"/>
  <c r="N31" i="18" s="1"/>
  <c r="E30" i="18"/>
  <c r="E31" i="18" s="1"/>
  <c r="AD30" i="18"/>
  <c r="AD31" i="18" s="1"/>
  <c r="AE271" i="2" s="1"/>
  <c r="D30" i="18"/>
  <c r="D31" i="18" s="1"/>
  <c r="AJ30" i="18"/>
  <c r="AJ31" i="18" s="1"/>
  <c r="AE30" i="18"/>
  <c r="AE31" i="18" s="1"/>
  <c r="S30" i="18"/>
  <c r="S31" i="18" s="1"/>
  <c r="V30" i="18"/>
  <c r="V31" i="18" s="1"/>
  <c r="L30" i="18"/>
  <c r="L31" i="18" s="1"/>
  <c r="AA30" i="18"/>
  <c r="AA31" i="18" s="1"/>
  <c r="AB30" i="18"/>
  <c r="AB31" i="18" s="1"/>
  <c r="AG30" i="18"/>
  <c r="AG31" i="18" s="1"/>
  <c r="AF57" i="18"/>
  <c r="H30" i="18"/>
  <c r="H31" i="18" s="1"/>
  <c r="X30" i="18"/>
  <c r="X31" i="18" s="1"/>
  <c r="F30" i="18"/>
  <c r="F31" i="18" s="1"/>
  <c r="P30" i="18"/>
  <c r="P31" i="18" s="1"/>
  <c r="Y30" i="18"/>
  <c r="Y31" i="18" s="1"/>
  <c r="AD42" i="18"/>
  <c r="AD43" i="18" s="1"/>
  <c r="Y42" i="18"/>
  <c r="Y43" i="18" s="1"/>
  <c r="R42" i="18"/>
  <c r="R43" i="18" s="1"/>
  <c r="X42" i="18"/>
  <c r="X43" i="18" s="1"/>
  <c r="P42" i="18"/>
  <c r="P43" i="18" s="1"/>
  <c r="H42" i="18"/>
  <c r="H43" i="18" s="1"/>
  <c r="AJ38" i="18"/>
  <c r="AJ39" i="18" s="1"/>
  <c r="AJ22" i="18" s="1"/>
  <c r="AB38" i="18"/>
  <c r="AB39" i="18" s="1"/>
  <c r="AB22" i="18" s="1"/>
  <c r="D38" i="18"/>
  <c r="D39" i="18" s="1"/>
  <c r="D22" i="18" s="1"/>
  <c r="AG42" i="18"/>
  <c r="AG43" i="18" s="1"/>
  <c r="V42" i="18"/>
  <c r="V43" i="18" s="1"/>
  <c r="K42" i="18"/>
  <c r="K43" i="18" s="1"/>
  <c r="AL38" i="18"/>
  <c r="AA38" i="18"/>
  <c r="AA39" i="18" s="1"/>
  <c r="AA22" i="18" s="1"/>
  <c r="F38" i="18"/>
  <c r="F39" i="18" s="1"/>
  <c r="F22" i="18" s="1"/>
  <c r="Y34" i="18"/>
  <c r="Y35" i="18" s="1"/>
  <c r="Q34" i="18"/>
  <c r="Q35" i="18" s="1"/>
  <c r="O42" i="18"/>
  <c r="O43" i="18" s="1"/>
  <c r="Z44" i="18" s="1"/>
  <c r="E42" i="18"/>
  <c r="E43" i="18" s="1"/>
  <c r="Z38" i="18"/>
  <c r="O38" i="18"/>
  <c r="O39" i="18" s="1"/>
  <c r="O22" i="18" s="1"/>
  <c r="AJ34" i="18"/>
  <c r="AJ35" i="18" s="1"/>
  <c r="P34" i="18"/>
  <c r="P35" i="18" s="1"/>
  <c r="H34" i="18"/>
  <c r="H35" i="18" s="1"/>
  <c r="S34" i="18"/>
  <c r="S35" i="18" s="1"/>
  <c r="AI34" i="18"/>
  <c r="AI35" i="18" s="1"/>
  <c r="W38" i="18"/>
  <c r="M42" i="18"/>
  <c r="M43" i="18" s="1"/>
  <c r="AH42" i="18"/>
  <c r="AH43" i="18" s="1"/>
  <c r="Y38" i="18"/>
  <c r="Y39" i="18" s="1"/>
  <c r="Y22" i="18" s="1"/>
  <c r="AD34" i="18"/>
  <c r="AC38" i="18"/>
  <c r="AC39" i="18" s="1"/>
  <c r="AC22" i="18" s="1"/>
  <c r="I38" i="18"/>
  <c r="I39" i="18" s="1"/>
  <c r="I22" i="18" s="1"/>
  <c r="F34" i="18"/>
  <c r="F35" i="18" s="1"/>
  <c r="I42" i="18"/>
  <c r="I43" i="18" s="1"/>
  <c r="S38" i="18"/>
  <c r="S39" i="18" s="1"/>
  <c r="S22" i="18" s="1"/>
  <c r="W34" i="18"/>
  <c r="W35" i="18" s="1"/>
  <c r="W272" i="2" s="1"/>
  <c r="G38" i="18"/>
  <c r="G39" i="18" s="1"/>
  <c r="G22" i="18" s="1"/>
  <c r="AD38" i="18"/>
  <c r="AD39" i="18" s="1"/>
  <c r="U276" i="2"/>
  <c r="C30" i="18"/>
  <c r="C31" i="18" s="1"/>
  <c r="K30" i="18"/>
  <c r="K31" i="18" s="1"/>
  <c r="K23" i="18" s="1"/>
  <c r="K24" i="18" s="1"/>
  <c r="M30" i="18"/>
  <c r="M31" i="18" s="1"/>
  <c r="G30" i="18"/>
  <c r="G31" i="18" s="1"/>
  <c r="U30" i="18"/>
  <c r="U31" i="18" s="1"/>
  <c r="AF30" i="18"/>
  <c r="AF31" i="18" s="1"/>
  <c r="O30" i="18"/>
  <c r="O31" i="18" s="1"/>
  <c r="R30" i="18"/>
  <c r="R31" i="18" s="1"/>
  <c r="AH30" i="18"/>
  <c r="AH31" i="18" s="1"/>
  <c r="AL30" i="18"/>
  <c r="AI30" i="18"/>
  <c r="AI31" i="18" s="1"/>
  <c r="I30" i="18"/>
  <c r="I31" i="18" s="1"/>
  <c r="J30" i="18"/>
  <c r="J31" i="18" s="1"/>
  <c r="N39" i="18"/>
  <c r="N35" i="18"/>
  <c r="S83" i="2"/>
  <c r="T83" i="2" s="1"/>
  <c r="U83" i="2" s="1"/>
  <c r="V83" i="2" s="1"/>
  <c r="W83" i="2" s="1"/>
  <c r="X83" i="2" s="1"/>
  <c r="Y83" i="2" s="1"/>
  <c r="Z83" i="2" s="1"/>
  <c r="AA83" i="2" s="1"/>
  <c r="AB83" i="2" s="1"/>
  <c r="AC83" i="2" s="1"/>
  <c r="AD83" i="2" s="1"/>
  <c r="AE83" i="2" s="1"/>
  <c r="BD83" i="2" s="1"/>
  <c r="BA83" i="2" s="1"/>
  <c r="AQ77" i="2"/>
  <c r="AQ75" i="2"/>
  <c r="Q328" i="2"/>
  <c r="S98" i="2"/>
  <c r="T98" i="2" s="1"/>
  <c r="U98" i="2" s="1"/>
  <c r="V98" i="2" s="1"/>
  <c r="W98" i="2" s="1"/>
  <c r="X98" i="2" s="1"/>
  <c r="Y98" i="2" s="1"/>
  <c r="Z98" i="2" s="1"/>
  <c r="AA98" i="2" s="1"/>
  <c r="AB98" i="2" s="1"/>
  <c r="AC98" i="2" s="1"/>
  <c r="AD98" i="2" s="1"/>
  <c r="AE98" i="2" s="1"/>
  <c r="BD98" i="2" s="1"/>
  <c r="AQ93" i="2"/>
  <c r="S46" i="2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BD46" i="2" s="1"/>
  <c r="AR46" i="2" s="1"/>
  <c r="AQ84" i="2"/>
  <c r="AQ41" i="2"/>
  <c r="S149" i="2"/>
  <c r="T149" i="2" s="1"/>
  <c r="U149" i="2" s="1"/>
  <c r="V149" i="2" s="1"/>
  <c r="W149" i="2" s="1"/>
  <c r="X149" i="2" s="1"/>
  <c r="Y149" i="2" s="1"/>
  <c r="Z149" i="2" s="1"/>
  <c r="AA149" i="2" s="1"/>
  <c r="AB149" i="2" s="1"/>
  <c r="AC149" i="2" s="1"/>
  <c r="AD149" i="2" s="1"/>
  <c r="AE149" i="2" s="1"/>
  <c r="AF149" i="2" s="1"/>
  <c r="AG149" i="2" s="1"/>
  <c r="AH149" i="2" s="1"/>
  <c r="AI149" i="2" s="1"/>
  <c r="AJ149" i="2" s="1"/>
  <c r="AK149" i="2" s="1"/>
  <c r="AL149" i="2" s="1"/>
  <c r="AM149" i="2" s="1"/>
  <c r="AN149" i="2" s="1"/>
  <c r="AQ60" i="2"/>
  <c r="Q272" i="2"/>
  <c r="AQ114" i="2"/>
  <c r="AQ147" i="2"/>
  <c r="AD271" i="2"/>
  <c r="AD273" i="2"/>
  <c r="AD328" i="2"/>
  <c r="N22" i="18"/>
  <c r="M273" i="2"/>
  <c r="M328" i="2"/>
  <c r="AQ62" i="2"/>
  <c r="S44" i="2"/>
  <c r="T44" i="2" s="1"/>
  <c r="U44" i="2" s="1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BD44" i="2" s="1"/>
  <c r="AI37" i="18"/>
  <c r="AI39" i="18" s="1"/>
  <c r="AI22" i="18" s="1"/>
  <c r="Q22" i="18"/>
  <c r="AQ82" i="2"/>
  <c r="AD326" i="2"/>
  <c r="M272" i="2"/>
  <c r="N23" i="18"/>
  <c r="AL29" i="18"/>
  <c r="AL31" i="18" s="1"/>
  <c r="AM326" i="2" s="1"/>
  <c r="Z33" i="18"/>
  <c r="Z35" i="18" s="1"/>
  <c r="Z272" i="2" s="1"/>
  <c r="AI41" i="18"/>
  <c r="AI43" i="18" s="1"/>
  <c r="R222" i="2"/>
  <c r="N56" i="18"/>
  <c r="S39" i="2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T22" i="18"/>
  <c r="S112" i="2"/>
  <c r="T112" i="2" s="1"/>
  <c r="U112" i="2" s="1"/>
  <c r="V112" i="2" s="1"/>
  <c r="W112" i="2" s="1"/>
  <c r="X112" i="2" s="1"/>
  <c r="Y112" i="2" s="1"/>
  <c r="Z112" i="2" s="1"/>
  <c r="AA112" i="2" s="1"/>
  <c r="AB112" i="2" s="1"/>
  <c r="AC112" i="2" s="1"/>
  <c r="AD112" i="2" s="1"/>
  <c r="AE112" i="2" s="1"/>
  <c r="AF112" i="2" s="1"/>
  <c r="AG112" i="2" s="1"/>
  <c r="AH112" i="2" s="1"/>
  <c r="AI112" i="2" s="1"/>
  <c r="AJ112" i="2" s="1"/>
  <c r="AK112" i="2" s="1"/>
  <c r="AL112" i="2" s="1"/>
  <c r="AM112" i="2" s="1"/>
  <c r="AN112" i="2" s="1"/>
  <c r="Q273" i="2"/>
  <c r="K57" i="18"/>
  <c r="K56" i="18" s="1"/>
  <c r="Z37" i="18"/>
  <c r="W39" i="18"/>
  <c r="J324" i="2"/>
  <c r="J53" i="2" s="1"/>
  <c r="K53" i="2" s="1"/>
  <c r="AD368" i="2"/>
  <c r="AD56" i="18"/>
  <c r="AD35" i="18"/>
  <c r="T58" i="18"/>
  <c r="Q267" i="2"/>
  <c r="AQ40" i="2"/>
  <c r="S40" i="2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S78" i="2"/>
  <c r="T78" i="2" s="1"/>
  <c r="U78" i="2" s="1"/>
  <c r="V78" i="2" s="1"/>
  <c r="W78" i="2" s="1"/>
  <c r="X78" i="2" s="1"/>
  <c r="Y78" i="2" s="1"/>
  <c r="Z78" i="2" s="1"/>
  <c r="AA78" i="2" s="1"/>
  <c r="AB78" i="2" s="1"/>
  <c r="AC78" i="2" s="1"/>
  <c r="AD78" i="2" s="1"/>
  <c r="AE78" i="2" s="1"/>
  <c r="BD78" i="2" s="1"/>
  <c r="AL41" i="18"/>
  <c r="AL43" i="18" s="1"/>
  <c r="AL44" i="18" s="1"/>
  <c r="AI58" i="18"/>
  <c r="Q57" i="18"/>
  <c r="Q56" i="18" s="1"/>
  <c r="AL33" i="18"/>
  <c r="T33" i="18"/>
  <c r="R35" i="18"/>
  <c r="S151" i="2"/>
  <c r="T151" i="2" s="1"/>
  <c r="U151" i="2" s="1"/>
  <c r="V151" i="2" s="1"/>
  <c r="W151" i="2" s="1"/>
  <c r="X151" i="2" s="1"/>
  <c r="Y151" i="2" s="1"/>
  <c r="Z151" i="2" s="1"/>
  <c r="AA151" i="2" s="1"/>
  <c r="AB151" i="2" s="1"/>
  <c r="AC151" i="2" s="1"/>
  <c r="AD151" i="2" s="1"/>
  <c r="AE151" i="2" s="1"/>
  <c r="AF151" i="2" s="1"/>
  <c r="AG151" i="2" s="1"/>
  <c r="AH151" i="2" s="1"/>
  <c r="AI151" i="2" s="1"/>
  <c r="AJ151" i="2" s="1"/>
  <c r="AK151" i="2" s="1"/>
  <c r="AL151" i="2" s="1"/>
  <c r="AM151" i="2" s="1"/>
  <c r="AN151" i="2" s="1"/>
  <c r="AQ76" i="2"/>
  <c r="S94" i="2"/>
  <c r="T94" i="2" s="1"/>
  <c r="U94" i="2" s="1"/>
  <c r="V94" i="2" s="1"/>
  <c r="W94" i="2" s="1"/>
  <c r="X94" i="2" s="1"/>
  <c r="Y94" i="2" s="1"/>
  <c r="Z94" i="2" s="1"/>
  <c r="AA94" i="2" s="1"/>
  <c r="AB94" i="2" s="1"/>
  <c r="AC94" i="2" s="1"/>
  <c r="AD94" i="2" s="1"/>
  <c r="AE94" i="2" s="1"/>
  <c r="BD94" i="2" s="1"/>
  <c r="AQ74" i="2"/>
  <c r="J272" i="2"/>
  <c r="T328" i="2"/>
  <c r="AG267" i="2"/>
  <c r="AD267" i="2"/>
  <c r="T29" i="18"/>
  <c r="Q31" i="18"/>
  <c r="AC35" i="18"/>
  <c r="AC45" i="18" s="1"/>
  <c r="AC53" i="18" s="1"/>
  <c r="AF33" i="18"/>
  <c r="AC56" i="18"/>
  <c r="S61" i="2"/>
  <c r="T61" i="2" s="1"/>
  <c r="U61" i="2" s="1"/>
  <c r="V61" i="2" s="1"/>
  <c r="W61" i="2" s="1"/>
  <c r="X61" i="2" s="1"/>
  <c r="Y61" i="2" s="1"/>
  <c r="Z61" i="2" s="1"/>
  <c r="AA61" i="2" s="1"/>
  <c r="AB61" i="2" s="1"/>
  <c r="AC61" i="2" s="1"/>
  <c r="AD61" i="2" s="1"/>
  <c r="AE61" i="2" s="1"/>
  <c r="AF61" i="2" s="1"/>
  <c r="AG61" i="2" s="1"/>
  <c r="AH61" i="2" s="1"/>
  <c r="AI61" i="2" s="1"/>
  <c r="AJ61" i="2" s="1"/>
  <c r="AK61" i="2" s="1"/>
  <c r="AL61" i="2" s="1"/>
  <c r="AM61" i="2" s="1"/>
  <c r="AN61" i="2" s="1"/>
  <c r="AQ61" i="2"/>
  <c r="H383" i="2"/>
  <c r="P302" i="2"/>
  <c r="AA541" i="2"/>
  <c r="AA351" i="2"/>
  <c r="O351" i="2" s="1"/>
  <c r="AN341" i="2"/>
  <c r="AI341" i="2" s="1"/>
  <c r="AL291" i="2"/>
  <c r="AE291" i="2"/>
  <c r="AN396" i="2"/>
  <c r="AB291" i="2"/>
  <c r="AN438" i="2"/>
  <c r="G17" i="2"/>
  <c r="AL367" i="2"/>
  <c r="AJ367" i="2"/>
  <c r="AB367" i="2"/>
  <c r="AI367" i="2"/>
  <c r="AA14" i="2"/>
  <c r="Z14" i="2"/>
  <c r="AQ13" i="2"/>
  <c r="AS13" i="2" s="1"/>
  <c r="R14" i="2"/>
  <c r="S14" i="2"/>
  <c r="O14" i="2"/>
  <c r="P14" i="2"/>
  <c r="U302" i="2"/>
  <c r="AQ69" i="2"/>
  <c r="S69" i="2"/>
  <c r="T69" i="2" s="1"/>
  <c r="U69" i="2" s="1"/>
  <c r="V69" i="2" s="1"/>
  <c r="W69" i="2" s="1"/>
  <c r="X69" i="2" s="1"/>
  <c r="Y69" i="2" s="1"/>
  <c r="Z69" i="2" s="1"/>
  <c r="AA69" i="2" s="1"/>
  <c r="AB69" i="2" s="1"/>
  <c r="AC69" i="2" s="1"/>
  <c r="AD69" i="2" s="1"/>
  <c r="AE69" i="2" s="1"/>
  <c r="AF69" i="2" s="1"/>
  <c r="AG69" i="2" s="1"/>
  <c r="AH69" i="2" s="1"/>
  <c r="AI69" i="2" s="1"/>
  <c r="AJ69" i="2" s="1"/>
  <c r="AK69" i="2" s="1"/>
  <c r="AL69" i="2" s="1"/>
  <c r="AM69" i="2" s="1"/>
  <c r="AN69" i="2" s="1"/>
  <c r="S92" i="2"/>
  <c r="T92" i="2" s="1"/>
  <c r="U92" i="2" s="1"/>
  <c r="V92" i="2" s="1"/>
  <c r="W92" i="2" s="1"/>
  <c r="X92" i="2" s="1"/>
  <c r="Y92" i="2" s="1"/>
  <c r="Z92" i="2" s="1"/>
  <c r="AA92" i="2" s="1"/>
  <c r="AB92" i="2" s="1"/>
  <c r="AC92" i="2" s="1"/>
  <c r="AD92" i="2" s="1"/>
  <c r="AE92" i="2" s="1"/>
  <c r="AF92" i="2" s="1"/>
  <c r="AG92" i="2" s="1"/>
  <c r="AH92" i="2" s="1"/>
  <c r="AI92" i="2" s="1"/>
  <c r="AJ92" i="2" s="1"/>
  <c r="AK92" i="2" s="1"/>
  <c r="AL92" i="2" s="1"/>
  <c r="AM92" i="2" s="1"/>
  <c r="AN92" i="2" s="1"/>
  <c r="AQ92" i="2"/>
  <c r="AF84" i="2"/>
  <c r="AG84" i="2" s="1"/>
  <c r="AH84" i="2" s="1"/>
  <c r="AI84" i="2" s="1"/>
  <c r="AJ84" i="2" s="1"/>
  <c r="AK84" i="2" s="1"/>
  <c r="AL84" i="2" s="1"/>
  <c r="AM84" i="2" s="1"/>
  <c r="AN84" i="2" s="1"/>
  <c r="BD84" i="2"/>
  <c r="AQ152" i="2"/>
  <c r="AF14" i="2"/>
  <c r="AK291" i="2"/>
  <c r="AH291" i="2"/>
  <c r="AF367" i="2"/>
  <c r="AC367" i="2"/>
  <c r="AH295" i="2"/>
  <c r="AN400" i="2"/>
  <c r="AB295" i="2"/>
  <c r="AN344" i="2"/>
  <c r="I337" i="2"/>
  <c r="L337" i="2"/>
  <c r="N388" i="2"/>
  <c r="G388" i="2" s="1"/>
  <c r="N333" i="2"/>
  <c r="I333" i="2" s="1"/>
  <c r="H283" i="2"/>
  <c r="L283" i="2"/>
  <c r="N430" i="2"/>
  <c r="S51" i="2"/>
  <c r="T51" i="2" s="1"/>
  <c r="U51" i="2" s="1"/>
  <c r="V51" i="2" s="1"/>
  <c r="W51" i="2" s="1"/>
  <c r="X51" i="2" s="1"/>
  <c r="Y51" i="2" s="1"/>
  <c r="Z51" i="2" s="1"/>
  <c r="AA51" i="2" s="1"/>
  <c r="AB51" i="2" s="1"/>
  <c r="AC51" i="2" s="1"/>
  <c r="AD51" i="2" s="1"/>
  <c r="AE51" i="2" s="1"/>
  <c r="AF51" i="2" s="1"/>
  <c r="AG51" i="2" s="1"/>
  <c r="AH51" i="2" s="1"/>
  <c r="AI51" i="2" s="1"/>
  <c r="AJ51" i="2" s="1"/>
  <c r="AK51" i="2" s="1"/>
  <c r="AL51" i="2" s="1"/>
  <c r="AM51" i="2" s="1"/>
  <c r="AN51" i="2" s="1"/>
  <c r="AQ51" i="2"/>
  <c r="AK293" i="2"/>
  <c r="AN343" i="2"/>
  <c r="AF293" i="2"/>
  <c r="AF352" i="2"/>
  <c r="AC352" i="2"/>
  <c r="O311" i="2"/>
  <c r="X311" i="2"/>
  <c r="AA507" i="2"/>
  <c r="V292" i="2"/>
  <c r="U292" i="2"/>
  <c r="P292" i="2"/>
  <c r="AA531" i="2"/>
  <c r="S292" i="2"/>
  <c r="AA342" i="2"/>
  <c r="H356" i="2"/>
  <c r="H109" i="2" s="1"/>
  <c r="I356" i="2"/>
  <c r="K356" i="2"/>
  <c r="L356" i="2"/>
  <c r="AL356" i="2"/>
  <c r="AE356" i="2"/>
  <c r="AD356" i="2"/>
  <c r="AK356" i="2"/>
  <c r="AB356" i="2"/>
  <c r="AH356" i="2"/>
  <c r="AC356" i="2"/>
  <c r="I159" i="2"/>
  <c r="H20" i="2"/>
  <c r="U14" i="2"/>
  <c r="U277" i="2" s="1"/>
  <c r="T14" i="2"/>
  <c r="AH303" i="2"/>
  <c r="AH352" i="2"/>
  <c r="AB303" i="2"/>
  <c r="AB352" i="2"/>
  <c r="AC298" i="2"/>
  <c r="R298" i="2"/>
  <c r="S289" i="2"/>
  <c r="AI264" i="2"/>
  <c r="AI266" i="2" s="1"/>
  <c r="AI269" i="2" s="1"/>
  <c r="AI216" i="2" s="1"/>
  <c r="AI217" i="2" s="1"/>
  <c r="AI219" i="2" s="1"/>
  <c r="AI224" i="2" s="1"/>
  <c r="AI276" i="2" s="1"/>
  <c r="Y264" i="2"/>
  <c r="Y266" i="2" s="1"/>
  <c r="Y269" i="2" s="1"/>
  <c r="Y216" i="2" s="1"/>
  <c r="Y217" i="2" s="1"/>
  <c r="Y219" i="2" s="1"/>
  <c r="Y224" i="2" s="1"/>
  <c r="Y276" i="2" s="1"/>
  <c r="Y277" i="2" s="1"/>
  <c r="AN264" i="2"/>
  <c r="AN266" i="2" s="1"/>
  <c r="AN269" i="2" s="1"/>
  <c r="AN216" i="2" s="1"/>
  <c r="AN217" i="2" s="1"/>
  <c r="AN219" i="2" s="1"/>
  <c r="AN224" i="2" s="1"/>
  <c r="AN276" i="2" s="1"/>
  <c r="AN277" i="2" s="1"/>
  <c r="AH264" i="2"/>
  <c r="AH266" i="2" s="1"/>
  <c r="AH269" i="2" s="1"/>
  <c r="AH216" i="2" s="1"/>
  <c r="AH217" i="2" s="1"/>
  <c r="AH219" i="2" s="1"/>
  <c r="AH224" i="2" s="1"/>
  <c r="AH276" i="2" s="1"/>
  <c r="AH277" i="2" s="1"/>
  <c r="R264" i="2"/>
  <c r="R266" i="2" s="1"/>
  <c r="R269" i="2" s="1"/>
  <c r="R216" i="2" s="1"/>
  <c r="R217" i="2" s="1"/>
  <c r="R219" i="2" s="1"/>
  <c r="AE264" i="2"/>
  <c r="AE266" i="2" s="1"/>
  <c r="AE269" i="2" s="1"/>
  <c r="AE216" i="2" s="1"/>
  <c r="AE217" i="2" s="1"/>
  <c r="AE219" i="2" s="1"/>
  <c r="AL282" i="2"/>
  <c r="AF264" i="2"/>
  <c r="AF266" i="2" s="1"/>
  <c r="AF269" i="2" s="1"/>
  <c r="AF216" i="2" s="1"/>
  <c r="AF217" i="2" s="1"/>
  <c r="AF219" i="2" s="1"/>
  <c r="AF224" i="2" s="1"/>
  <c r="AF276" i="2" s="1"/>
  <c r="S126" i="2"/>
  <c r="T126" i="2" s="1"/>
  <c r="U126" i="2" s="1"/>
  <c r="V126" i="2" s="1"/>
  <c r="W126" i="2" s="1"/>
  <c r="X126" i="2" s="1"/>
  <c r="Y126" i="2" s="1"/>
  <c r="Z126" i="2" s="1"/>
  <c r="AA126" i="2" s="1"/>
  <c r="AB126" i="2" s="1"/>
  <c r="AC126" i="2" s="1"/>
  <c r="AD126" i="2" s="1"/>
  <c r="AE126" i="2" s="1"/>
  <c r="AF126" i="2" s="1"/>
  <c r="AG126" i="2" s="1"/>
  <c r="AH126" i="2" s="1"/>
  <c r="AI126" i="2" s="1"/>
  <c r="AJ126" i="2" s="1"/>
  <c r="AK126" i="2" s="1"/>
  <c r="AL126" i="2" s="1"/>
  <c r="AM126" i="2" s="1"/>
  <c r="AN126" i="2" s="1"/>
  <c r="AQ126" i="2"/>
  <c r="R292" i="2"/>
  <c r="V311" i="2"/>
  <c r="X14" i="2"/>
  <c r="AN398" i="2"/>
  <c r="AH293" i="2"/>
  <c r="AD367" i="2"/>
  <c r="AI291" i="2"/>
  <c r="AK363" i="2"/>
  <c r="AC363" i="2"/>
  <c r="AF363" i="2"/>
  <c r="AI363" i="2"/>
  <c r="AL363" i="2"/>
  <c r="AH363" i="2"/>
  <c r="AE363" i="2"/>
  <c r="Y301" i="2"/>
  <c r="AL290" i="2"/>
  <c r="AH290" i="2"/>
  <c r="I349" i="2"/>
  <c r="H349" i="2"/>
  <c r="K349" i="2"/>
  <c r="AF41" i="2"/>
  <c r="AG41" i="2" s="1"/>
  <c r="AH41" i="2" s="1"/>
  <c r="AI41" i="2" s="1"/>
  <c r="AJ41" i="2" s="1"/>
  <c r="AK41" i="2" s="1"/>
  <c r="AL41" i="2" s="1"/>
  <c r="AM41" i="2" s="1"/>
  <c r="AN41" i="2" s="1"/>
  <c r="BD41" i="2"/>
  <c r="AK352" i="2"/>
  <c r="AE352" i="2"/>
  <c r="P301" i="2"/>
  <c r="S264" i="2"/>
  <c r="S266" i="2" s="1"/>
  <c r="S269" i="2" s="1"/>
  <c r="S216" i="2" s="1"/>
  <c r="S217" i="2" s="1"/>
  <c r="S219" i="2" s="1"/>
  <c r="S224" i="2" s="1"/>
  <c r="S276" i="2" s="1"/>
  <c r="S277" i="2" s="1"/>
  <c r="N264" i="2"/>
  <c r="N266" i="2" s="1"/>
  <c r="N269" i="2" s="1"/>
  <c r="N216" i="2" s="1"/>
  <c r="N217" i="2" s="1"/>
  <c r="N219" i="2" s="1"/>
  <c r="N224" i="2" s="1"/>
  <c r="N276" i="2" s="1"/>
  <c r="V264" i="2"/>
  <c r="V266" i="2" s="1"/>
  <c r="V269" i="2" s="1"/>
  <c r="V216" i="2" s="1"/>
  <c r="V217" i="2" s="1"/>
  <c r="V219" i="2" s="1"/>
  <c r="V224" i="2" s="1"/>
  <c r="V276" i="2" s="1"/>
  <c r="V277" i="2" s="1"/>
  <c r="AI282" i="2"/>
  <c r="N435" i="2"/>
  <c r="N338" i="2"/>
  <c r="I292" i="2"/>
  <c r="N439" i="2"/>
  <c r="N342" i="2"/>
  <c r="K342" i="2" s="1"/>
  <c r="N447" i="2"/>
  <c r="N405" i="2"/>
  <c r="G405" i="2" s="1"/>
  <c r="N462" i="2"/>
  <c r="N420" i="2"/>
  <c r="G420" i="2" s="1"/>
  <c r="I288" i="2"/>
  <c r="I68" i="2" s="1"/>
  <c r="AC282" i="2"/>
  <c r="N429" i="2"/>
  <c r="AI295" i="2"/>
  <c r="AC295" i="2"/>
  <c r="AL293" i="2"/>
  <c r="AC291" i="2"/>
  <c r="I285" i="2"/>
  <c r="K285" i="2"/>
  <c r="M54" i="2"/>
  <c r="N54" i="2" s="1"/>
  <c r="O54" i="2" s="1"/>
  <c r="P54" i="2" s="1"/>
  <c r="Q54" i="2" s="1"/>
  <c r="R54" i="2" s="1"/>
  <c r="AE367" i="2"/>
  <c r="AQ111" i="2"/>
  <c r="AQ134" i="2"/>
  <c r="I310" i="2"/>
  <c r="K300" i="2"/>
  <c r="L285" i="2"/>
  <c r="I14" i="2"/>
  <c r="I277" i="2" s="1"/>
  <c r="N387" i="2"/>
  <c r="G387" i="2" s="1"/>
  <c r="H264" i="2"/>
  <c r="H266" i="2" s="1"/>
  <c r="H269" i="2" s="1"/>
  <c r="H216" i="2" s="1"/>
  <c r="H217" i="2" s="1"/>
  <c r="H219" i="2" s="1"/>
  <c r="H224" i="2" s="1"/>
  <c r="H276" i="2" s="1"/>
  <c r="H277" i="2" s="1"/>
  <c r="H337" i="2"/>
  <c r="H296" i="2"/>
  <c r="H50" i="2" s="1"/>
  <c r="I296" i="2"/>
  <c r="AF295" i="2"/>
  <c r="AI293" i="2"/>
  <c r="AF291" i="2"/>
  <c r="AG367" i="2"/>
  <c r="AK367" i="2"/>
  <c r="H300" i="2"/>
  <c r="H70" i="2" s="1"/>
  <c r="I314" i="2"/>
  <c r="AI14" i="2"/>
  <c r="L314" i="2"/>
  <c r="U311" i="2"/>
  <c r="AF303" i="2"/>
  <c r="AC301" i="2"/>
  <c r="O296" i="2"/>
  <c r="K282" i="2"/>
  <c r="N408" i="2"/>
  <c r="G408" i="2" s="1"/>
  <c r="N450" i="2"/>
  <c r="G10" i="2"/>
  <c r="R322" i="2"/>
  <c r="AF298" i="2"/>
  <c r="V286" i="2"/>
  <c r="X310" i="2"/>
  <c r="AA506" i="2"/>
  <c r="AC14" i="2"/>
  <c r="N14" i="2"/>
  <c r="N277" i="2" s="1"/>
  <c r="H289" i="2"/>
  <c r="H67" i="2" s="1"/>
  <c r="I303" i="2"/>
  <c r="H314" i="2"/>
  <c r="H89" i="2" s="1"/>
  <c r="Y314" i="2"/>
  <c r="X296" i="2"/>
  <c r="Y295" i="2"/>
  <c r="K14" i="2"/>
  <c r="AF114" i="2"/>
  <c r="AG114" i="2" s="1"/>
  <c r="AH114" i="2" s="1"/>
  <c r="AI114" i="2" s="1"/>
  <c r="AJ114" i="2" s="1"/>
  <c r="AK114" i="2" s="1"/>
  <c r="AL114" i="2" s="1"/>
  <c r="AM114" i="2" s="1"/>
  <c r="AN114" i="2" s="1"/>
  <c r="BD114" i="2"/>
  <c r="H336" i="2"/>
  <c r="L336" i="2"/>
  <c r="K336" i="2"/>
  <c r="I336" i="2"/>
  <c r="M324" i="2"/>
  <c r="BD147" i="2"/>
  <c r="AF147" i="2"/>
  <c r="AG147" i="2" s="1"/>
  <c r="AH147" i="2" s="1"/>
  <c r="AI147" i="2" s="1"/>
  <c r="AJ147" i="2" s="1"/>
  <c r="AK147" i="2" s="1"/>
  <c r="AL147" i="2" s="1"/>
  <c r="AM147" i="2" s="1"/>
  <c r="AN147" i="2" s="1"/>
  <c r="AF134" i="2"/>
  <c r="AG134" i="2" s="1"/>
  <c r="AH134" i="2" s="1"/>
  <c r="AI134" i="2" s="1"/>
  <c r="AJ134" i="2" s="1"/>
  <c r="AK134" i="2" s="1"/>
  <c r="AL134" i="2" s="1"/>
  <c r="AM134" i="2" s="1"/>
  <c r="AN134" i="2" s="1"/>
  <c r="BD134" i="2"/>
  <c r="AC340" i="2"/>
  <c r="AF340" i="2"/>
  <c r="AF74" i="2"/>
  <c r="AG74" i="2" s="1"/>
  <c r="AH74" i="2" s="1"/>
  <c r="AI74" i="2" s="1"/>
  <c r="AJ74" i="2" s="1"/>
  <c r="AK74" i="2" s="1"/>
  <c r="AL74" i="2" s="1"/>
  <c r="AM74" i="2" s="1"/>
  <c r="AN74" i="2" s="1"/>
  <c r="BD74" i="2"/>
  <c r="BD93" i="2"/>
  <c r="AF93" i="2"/>
  <c r="AG93" i="2" s="1"/>
  <c r="AH93" i="2" s="1"/>
  <c r="AI93" i="2" s="1"/>
  <c r="AJ93" i="2" s="1"/>
  <c r="AK93" i="2" s="1"/>
  <c r="AL93" i="2" s="1"/>
  <c r="AM93" i="2" s="1"/>
  <c r="AN93" i="2" s="1"/>
  <c r="AF60" i="2"/>
  <c r="AG60" i="2" s="1"/>
  <c r="AH60" i="2" s="1"/>
  <c r="AI60" i="2" s="1"/>
  <c r="AJ60" i="2" s="1"/>
  <c r="AK60" i="2" s="1"/>
  <c r="AL60" i="2" s="1"/>
  <c r="AM60" i="2" s="1"/>
  <c r="AN60" i="2" s="1"/>
  <c r="BD60" i="2"/>
  <c r="X352" i="2"/>
  <c r="U352" i="2"/>
  <c r="P352" i="2"/>
  <c r="R352" i="2"/>
  <c r="V352" i="2"/>
  <c r="O352" i="2"/>
  <c r="Y352" i="2"/>
  <c r="P264" i="2"/>
  <c r="P266" i="2" s="1"/>
  <c r="P269" i="2" s="1"/>
  <c r="P216" i="2" s="1"/>
  <c r="P217" i="2" s="1"/>
  <c r="P219" i="2" s="1"/>
  <c r="P224" i="2" s="1"/>
  <c r="P276" i="2" s="1"/>
  <c r="P287" i="2"/>
  <c r="K264" i="2"/>
  <c r="K266" i="2" s="1"/>
  <c r="K269" i="2" s="1"/>
  <c r="K216" i="2" s="1"/>
  <c r="K217" i="2" s="1"/>
  <c r="K219" i="2" s="1"/>
  <c r="K224" i="2" s="1"/>
  <c r="K276" i="2" s="1"/>
  <c r="K287" i="2"/>
  <c r="K337" i="2"/>
  <c r="AC264" i="2"/>
  <c r="AC266" i="2" s="1"/>
  <c r="AC269" i="2" s="1"/>
  <c r="AC216" i="2" s="1"/>
  <c r="AC217" i="2" s="1"/>
  <c r="AC219" i="2" s="1"/>
  <c r="AC224" i="2" s="1"/>
  <c r="AC276" i="2" s="1"/>
  <c r="AC286" i="2"/>
  <c r="X286" i="2"/>
  <c r="AB264" i="2"/>
  <c r="AB266" i="2" s="1"/>
  <c r="AB269" i="2" s="1"/>
  <c r="AB216" i="2" s="1"/>
  <c r="AB217" i="2" s="1"/>
  <c r="AB219" i="2" s="1"/>
  <c r="AB224" i="2" s="1"/>
  <c r="AB276" i="2" s="1"/>
  <c r="AB284" i="2"/>
  <c r="X264" i="2"/>
  <c r="X266" i="2" s="1"/>
  <c r="X269" i="2" s="1"/>
  <c r="X216" i="2" s="1"/>
  <c r="X217" i="2" s="1"/>
  <c r="X219" i="2" s="1"/>
  <c r="X224" i="2" s="1"/>
  <c r="X276" i="2" s="1"/>
  <c r="X277" i="2" s="1"/>
  <c r="AQ148" i="2"/>
  <c r="S148" i="2"/>
  <c r="T148" i="2" s="1"/>
  <c r="U148" i="2" s="1"/>
  <c r="V148" i="2" s="1"/>
  <c r="W148" i="2" s="1"/>
  <c r="X148" i="2" s="1"/>
  <c r="Y148" i="2" s="1"/>
  <c r="Z148" i="2" s="1"/>
  <c r="AA148" i="2" s="1"/>
  <c r="AB148" i="2" s="1"/>
  <c r="AC148" i="2" s="1"/>
  <c r="AD148" i="2" s="1"/>
  <c r="AE148" i="2" s="1"/>
  <c r="AQ136" i="2"/>
  <c r="S136" i="2"/>
  <c r="T136" i="2" s="1"/>
  <c r="U136" i="2" s="1"/>
  <c r="V136" i="2" s="1"/>
  <c r="W136" i="2" s="1"/>
  <c r="X136" i="2" s="1"/>
  <c r="Y136" i="2" s="1"/>
  <c r="Z136" i="2" s="1"/>
  <c r="AA136" i="2" s="1"/>
  <c r="AB136" i="2" s="1"/>
  <c r="AC136" i="2" s="1"/>
  <c r="AD136" i="2" s="1"/>
  <c r="AE136" i="2" s="1"/>
  <c r="I286" i="2"/>
  <c r="N433" i="2"/>
  <c r="H286" i="2"/>
  <c r="N391" i="2"/>
  <c r="G391" i="2" s="1"/>
  <c r="L286" i="2"/>
  <c r="K286" i="2"/>
  <c r="N339" i="2"/>
  <c r="K289" i="2"/>
  <c r="I289" i="2"/>
  <c r="L289" i="2"/>
  <c r="N436" i="2"/>
  <c r="N394" i="2"/>
  <c r="G394" i="2" s="1"/>
  <c r="K293" i="2"/>
  <c r="N343" i="2"/>
  <c r="I293" i="2"/>
  <c r="N398" i="2"/>
  <c r="G398" i="2" s="1"/>
  <c r="N440" i="2"/>
  <c r="L293" i="2"/>
  <c r="H293" i="2"/>
  <c r="H73" i="2" s="1"/>
  <c r="I73" i="2" s="1"/>
  <c r="L297" i="2"/>
  <c r="H297" i="2"/>
  <c r="I297" i="2"/>
  <c r="N402" i="2"/>
  <c r="G402" i="2" s="1"/>
  <c r="K297" i="2"/>
  <c r="N444" i="2"/>
  <c r="N346" i="2"/>
  <c r="AF62" i="2"/>
  <c r="AG62" i="2" s="1"/>
  <c r="AH62" i="2" s="1"/>
  <c r="AI62" i="2" s="1"/>
  <c r="AJ62" i="2" s="1"/>
  <c r="AK62" i="2" s="1"/>
  <c r="AL62" i="2" s="1"/>
  <c r="AM62" i="2" s="1"/>
  <c r="AN62" i="2" s="1"/>
  <c r="BD62" i="2"/>
  <c r="U361" i="2"/>
  <c r="Y361" i="2"/>
  <c r="R361" i="2"/>
  <c r="V361" i="2"/>
  <c r="AN319" i="2"/>
  <c r="AA542" i="2"/>
  <c r="U303" i="2"/>
  <c r="AA498" i="2"/>
  <c r="S303" i="2"/>
  <c r="Y303" i="2"/>
  <c r="V303" i="2"/>
  <c r="R303" i="2"/>
  <c r="X303" i="2"/>
  <c r="O303" i="2"/>
  <c r="AC284" i="2"/>
  <c r="AN334" i="2"/>
  <c r="AF284" i="2"/>
  <c r="AI284" i="2"/>
  <c r="AH284" i="2"/>
  <c r="AE284" i="2"/>
  <c r="AN431" i="2"/>
  <c r="AN389" i="2"/>
  <c r="AL284" i="2"/>
  <c r="AK284" i="2"/>
  <c r="Y363" i="2"/>
  <c r="P363" i="2"/>
  <c r="U363" i="2"/>
  <c r="V363" i="2"/>
  <c r="Y285" i="2"/>
  <c r="X285" i="2"/>
  <c r="AA524" i="2"/>
  <c r="AA335" i="2"/>
  <c r="P285" i="2"/>
  <c r="U285" i="2"/>
  <c r="V285" i="2"/>
  <c r="O285" i="2"/>
  <c r="AA480" i="2"/>
  <c r="S299" i="2"/>
  <c r="V299" i="2"/>
  <c r="P299" i="2"/>
  <c r="R299" i="2"/>
  <c r="X299" i="2"/>
  <c r="AA348" i="2"/>
  <c r="AA538" i="2"/>
  <c r="AL286" i="2"/>
  <c r="AB286" i="2"/>
  <c r="AH286" i="2"/>
  <c r="AI286" i="2"/>
  <c r="AE286" i="2"/>
  <c r="AN336" i="2"/>
  <c r="AN391" i="2"/>
  <c r="N374" i="2"/>
  <c r="O264" i="2"/>
  <c r="O266" i="2" s="1"/>
  <c r="O269" i="2" s="1"/>
  <c r="O216" i="2" s="1"/>
  <c r="O217" i="2" s="1"/>
  <c r="O219" i="2" s="1"/>
  <c r="O224" i="2" s="1"/>
  <c r="O276" i="2" s="1"/>
  <c r="O277" i="2" s="1"/>
  <c r="L264" i="2"/>
  <c r="L266" i="2" s="1"/>
  <c r="L269" i="2" s="1"/>
  <c r="L216" i="2" s="1"/>
  <c r="L217" i="2" s="1"/>
  <c r="L219" i="2" s="1"/>
  <c r="L224" i="2" s="1"/>
  <c r="L276" i="2" s="1"/>
  <c r="L277" i="2" s="1"/>
  <c r="K291" i="2"/>
  <c r="H291" i="2"/>
  <c r="H72" i="2" s="1"/>
  <c r="I291" i="2"/>
  <c r="N438" i="2"/>
  <c r="N341" i="2"/>
  <c r="V302" i="2"/>
  <c r="Y302" i="2"/>
  <c r="S302" i="2"/>
  <c r="R302" i="2"/>
  <c r="O302" i="2"/>
  <c r="X302" i="2"/>
  <c r="AE287" i="2"/>
  <c r="AI287" i="2"/>
  <c r="AN337" i="2"/>
  <c r="AL287" i="2"/>
  <c r="AK287" i="2"/>
  <c r="AN392" i="2"/>
  <c r="AC287" i="2"/>
  <c r="AE290" i="2"/>
  <c r="AB290" i="2"/>
  <c r="AF290" i="2"/>
  <c r="AK290" i="2"/>
  <c r="AN395" i="2"/>
  <c r="AN437" i="2"/>
  <c r="AN403" i="2"/>
  <c r="P311" i="2"/>
  <c r="R311" i="2"/>
  <c r="H169" i="2"/>
  <c r="H22" i="2" s="1"/>
  <c r="I167" i="2"/>
  <c r="AJ14" i="2"/>
  <c r="AK14" i="2"/>
  <c r="H310" i="2"/>
  <c r="N416" i="2"/>
  <c r="G416" i="2" s="1"/>
  <c r="AG418" i="2"/>
  <c r="AG356" i="2"/>
  <c r="AJ207" i="2"/>
  <c r="AV13" i="2"/>
  <c r="BC13" i="2"/>
  <c r="AR13" i="2"/>
  <c r="Y289" i="2"/>
  <c r="AB301" i="2"/>
  <c r="AN350" i="2"/>
  <c r="O294" i="2"/>
  <c r="P294" i="2"/>
  <c r="S287" i="2"/>
  <c r="R287" i="2"/>
  <c r="H19" i="2"/>
  <c r="I156" i="2"/>
  <c r="AL264" i="2"/>
  <c r="AL266" i="2" s="1"/>
  <c r="AL269" i="2" s="1"/>
  <c r="AL216" i="2" s="1"/>
  <c r="AL217" i="2" s="1"/>
  <c r="AL219" i="2" s="1"/>
  <c r="AL224" i="2" s="1"/>
  <c r="AL276" i="2" s="1"/>
  <c r="AL277" i="2" s="1"/>
  <c r="AA264" i="2"/>
  <c r="AA266" i="2" s="1"/>
  <c r="AA269" i="2" s="1"/>
  <c r="AA216" i="2" s="1"/>
  <c r="AA217" i="2" s="1"/>
  <c r="AA219" i="2" s="1"/>
  <c r="AA224" i="2" s="1"/>
  <c r="AA276" i="2" s="1"/>
  <c r="H301" i="2"/>
  <c r="H63" i="2" s="1"/>
  <c r="L311" i="2"/>
  <c r="N459" i="2"/>
  <c r="I311" i="2"/>
  <c r="AK303" i="2"/>
  <c r="AE303" i="2"/>
  <c r="AM14" i="2"/>
  <c r="Y287" i="2"/>
  <c r="AK264" i="2"/>
  <c r="AK266" i="2" s="1"/>
  <c r="AK269" i="2" s="1"/>
  <c r="AK216" i="2" s="1"/>
  <c r="AK217" i="2" s="1"/>
  <c r="AK219" i="2" s="1"/>
  <c r="AK224" i="2" s="1"/>
  <c r="AK276" i="2" s="1"/>
  <c r="M325" i="2"/>
  <c r="N367" i="2"/>
  <c r="L282" i="2"/>
  <c r="N332" i="2"/>
  <c r="L292" i="2"/>
  <c r="AQ125" i="2"/>
  <c r="S125" i="2"/>
  <c r="T125" i="2" s="1"/>
  <c r="U125" i="2" s="1"/>
  <c r="V125" i="2" s="1"/>
  <c r="W125" i="2" s="1"/>
  <c r="X125" i="2" s="1"/>
  <c r="Y125" i="2" s="1"/>
  <c r="Z125" i="2" s="1"/>
  <c r="AA125" i="2" s="1"/>
  <c r="AB125" i="2" s="1"/>
  <c r="AC125" i="2" s="1"/>
  <c r="AD125" i="2" s="1"/>
  <c r="AE125" i="2" s="1"/>
  <c r="S124" i="2"/>
  <c r="T124" i="2" s="1"/>
  <c r="U124" i="2" s="1"/>
  <c r="V124" i="2" s="1"/>
  <c r="W124" i="2" s="1"/>
  <c r="X124" i="2" s="1"/>
  <c r="Y124" i="2" s="1"/>
  <c r="Z124" i="2" s="1"/>
  <c r="AA124" i="2" s="1"/>
  <c r="AB124" i="2" s="1"/>
  <c r="AC124" i="2" s="1"/>
  <c r="AD124" i="2" s="1"/>
  <c r="AE124" i="2" s="1"/>
  <c r="AQ124" i="2"/>
  <c r="S105" i="2"/>
  <c r="T105" i="2" s="1"/>
  <c r="U105" i="2" s="1"/>
  <c r="V105" i="2" s="1"/>
  <c r="W105" i="2" s="1"/>
  <c r="X105" i="2" s="1"/>
  <c r="Y105" i="2" s="1"/>
  <c r="Z105" i="2" s="1"/>
  <c r="AA105" i="2" s="1"/>
  <c r="AB105" i="2" s="1"/>
  <c r="AC105" i="2" s="1"/>
  <c r="AD105" i="2" s="1"/>
  <c r="AE105" i="2" s="1"/>
  <c r="AQ105" i="2"/>
  <c r="AQ47" i="2"/>
  <c r="S47" i="2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AE47" i="2" s="1"/>
  <c r="AQ49" i="2"/>
  <c r="S49" i="2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AQ66" i="2"/>
  <c r="S66" i="2"/>
  <c r="T66" i="2" s="1"/>
  <c r="U66" i="2" s="1"/>
  <c r="V66" i="2" s="1"/>
  <c r="W66" i="2" s="1"/>
  <c r="X66" i="2" s="1"/>
  <c r="Y66" i="2" s="1"/>
  <c r="Z66" i="2" s="1"/>
  <c r="AA66" i="2" s="1"/>
  <c r="AB66" i="2" s="1"/>
  <c r="AC66" i="2" s="1"/>
  <c r="AD66" i="2" s="1"/>
  <c r="AE66" i="2" s="1"/>
  <c r="S95" i="2"/>
  <c r="T95" i="2" s="1"/>
  <c r="U95" i="2" s="1"/>
  <c r="V95" i="2" s="1"/>
  <c r="W95" i="2" s="1"/>
  <c r="X95" i="2" s="1"/>
  <c r="Y95" i="2" s="1"/>
  <c r="Z95" i="2" s="1"/>
  <c r="AA95" i="2" s="1"/>
  <c r="AB95" i="2" s="1"/>
  <c r="AC95" i="2" s="1"/>
  <c r="AD95" i="2" s="1"/>
  <c r="AE95" i="2" s="1"/>
  <c r="AQ95" i="2"/>
  <c r="AQ99" i="2"/>
  <c r="S99" i="2"/>
  <c r="T99" i="2" s="1"/>
  <c r="U99" i="2" s="1"/>
  <c r="V99" i="2" s="1"/>
  <c r="W99" i="2" s="1"/>
  <c r="X99" i="2" s="1"/>
  <c r="Y99" i="2" s="1"/>
  <c r="Z99" i="2" s="1"/>
  <c r="AA99" i="2" s="1"/>
  <c r="AB99" i="2" s="1"/>
  <c r="AC99" i="2" s="1"/>
  <c r="AD99" i="2" s="1"/>
  <c r="AE99" i="2" s="1"/>
  <c r="AQ150" i="2"/>
  <c r="S150" i="2"/>
  <c r="T150" i="2" s="1"/>
  <c r="U150" i="2" s="1"/>
  <c r="V150" i="2" s="1"/>
  <c r="W150" i="2" s="1"/>
  <c r="X150" i="2" s="1"/>
  <c r="Y150" i="2" s="1"/>
  <c r="Z150" i="2" s="1"/>
  <c r="AA150" i="2" s="1"/>
  <c r="AB150" i="2" s="1"/>
  <c r="AC150" i="2" s="1"/>
  <c r="AD150" i="2" s="1"/>
  <c r="AE150" i="2" s="1"/>
  <c r="AQ145" i="2"/>
  <c r="S145" i="2"/>
  <c r="T145" i="2" s="1"/>
  <c r="U145" i="2" s="1"/>
  <c r="V145" i="2" s="1"/>
  <c r="W145" i="2" s="1"/>
  <c r="X145" i="2" s="1"/>
  <c r="Y145" i="2" s="1"/>
  <c r="Z145" i="2" s="1"/>
  <c r="AA145" i="2" s="1"/>
  <c r="AB145" i="2" s="1"/>
  <c r="AC145" i="2" s="1"/>
  <c r="AD145" i="2" s="1"/>
  <c r="AE145" i="2" s="1"/>
  <c r="S36" i="2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Q36" i="2"/>
  <c r="BD75" i="2"/>
  <c r="BD77" i="2"/>
  <c r="AF77" i="2"/>
  <c r="AG77" i="2" s="1"/>
  <c r="AH77" i="2" s="1"/>
  <c r="AI77" i="2" s="1"/>
  <c r="AJ77" i="2" s="1"/>
  <c r="AK77" i="2" s="1"/>
  <c r="AL77" i="2" s="1"/>
  <c r="AM77" i="2" s="1"/>
  <c r="AN77" i="2" s="1"/>
  <c r="BD111" i="2"/>
  <c r="AF111" i="2"/>
  <c r="AG111" i="2" s="1"/>
  <c r="AH111" i="2" s="1"/>
  <c r="AI111" i="2" s="1"/>
  <c r="AJ111" i="2" s="1"/>
  <c r="AK111" i="2" s="1"/>
  <c r="AL111" i="2" s="1"/>
  <c r="AM111" i="2" s="1"/>
  <c r="AN111" i="2" s="1"/>
  <c r="S139" i="2"/>
  <c r="T139" i="2" s="1"/>
  <c r="U139" i="2" s="1"/>
  <c r="V139" i="2" s="1"/>
  <c r="W139" i="2" s="1"/>
  <c r="X139" i="2" s="1"/>
  <c r="Y139" i="2" s="1"/>
  <c r="Z139" i="2" s="1"/>
  <c r="AA139" i="2" s="1"/>
  <c r="AB139" i="2" s="1"/>
  <c r="AC139" i="2" s="1"/>
  <c r="AD139" i="2" s="1"/>
  <c r="AE139" i="2" s="1"/>
  <c r="AQ139" i="2"/>
  <c r="S138" i="2"/>
  <c r="T138" i="2" s="1"/>
  <c r="U138" i="2" s="1"/>
  <c r="V138" i="2" s="1"/>
  <c r="W138" i="2" s="1"/>
  <c r="X138" i="2" s="1"/>
  <c r="Y138" i="2" s="1"/>
  <c r="Z138" i="2" s="1"/>
  <c r="AA138" i="2" s="1"/>
  <c r="AB138" i="2" s="1"/>
  <c r="AC138" i="2" s="1"/>
  <c r="AD138" i="2" s="1"/>
  <c r="AE138" i="2" s="1"/>
  <c r="AQ138" i="2"/>
  <c r="S137" i="2"/>
  <c r="T137" i="2" s="1"/>
  <c r="U137" i="2" s="1"/>
  <c r="V137" i="2" s="1"/>
  <c r="W137" i="2" s="1"/>
  <c r="X137" i="2" s="1"/>
  <c r="Y137" i="2" s="1"/>
  <c r="Z137" i="2" s="1"/>
  <c r="AA137" i="2" s="1"/>
  <c r="AB137" i="2" s="1"/>
  <c r="AC137" i="2" s="1"/>
  <c r="AD137" i="2" s="1"/>
  <c r="AE137" i="2" s="1"/>
  <c r="AQ137" i="2"/>
  <c r="AQ131" i="2"/>
  <c r="S131" i="2"/>
  <c r="T131" i="2" s="1"/>
  <c r="U131" i="2" s="1"/>
  <c r="V131" i="2" s="1"/>
  <c r="W131" i="2" s="1"/>
  <c r="X131" i="2" s="1"/>
  <c r="Y131" i="2" s="1"/>
  <c r="Z131" i="2" s="1"/>
  <c r="AA131" i="2" s="1"/>
  <c r="AB131" i="2" s="1"/>
  <c r="AC131" i="2" s="1"/>
  <c r="AD131" i="2" s="1"/>
  <c r="AE131" i="2" s="1"/>
  <c r="S127" i="2"/>
  <c r="T127" i="2" s="1"/>
  <c r="U127" i="2" s="1"/>
  <c r="V127" i="2" s="1"/>
  <c r="W127" i="2" s="1"/>
  <c r="X127" i="2" s="1"/>
  <c r="Y127" i="2" s="1"/>
  <c r="Z127" i="2" s="1"/>
  <c r="AA127" i="2" s="1"/>
  <c r="AB127" i="2" s="1"/>
  <c r="AC127" i="2" s="1"/>
  <c r="AD127" i="2" s="1"/>
  <c r="AE127" i="2" s="1"/>
  <c r="AQ127" i="2"/>
  <c r="AQ120" i="2"/>
  <c r="S120" i="2"/>
  <c r="T120" i="2" s="1"/>
  <c r="U120" i="2" s="1"/>
  <c r="V120" i="2" s="1"/>
  <c r="W120" i="2" s="1"/>
  <c r="X120" i="2" s="1"/>
  <c r="Y120" i="2" s="1"/>
  <c r="Z120" i="2" s="1"/>
  <c r="AA120" i="2" s="1"/>
  <c r="AB120" i="2" s="1"/>
  <c r="AC120" i="2" s="1"/>
  <c r="AD120" i="2" s="1"/>
  <c r="AE120" i="2" s="1"/>
  <c r="AQ118" i="2"/>
  <c r="S118" i="2"/>
  <c r="T118" i="2" s="1"/>
  <c r="U118" i="2" s="1"/>
  <c r="V118" i="2" s="1"/>
  <c r="W118" i="2" s="1"/>
  <c r="X118" i="2" s="1"/>
  <c r="Y118" i="2" s="1"/>
  <c r="Z118" i="2" s="1"/>
  <c r="AA118" i="2" s="1"/>
  <c r="AB118" i="2" s="1"/>
  <c r="AC118" i="2" s="1"/>
  <c r="AD118" i="2" s="1"/>
  <c r="AE118" i="2" s="1"/>
  <c r="AQ96" i="2"/>
  <c r="S96" i="2"/>
  <c r="T96" i="2" s="1"/>
  <c r="U96" i="2" s="1"/>
  <c r="V96" i="2" s="1"/>
  <c r="W96" i="2" s="1"/>
  <c r="X96" i="2" s="1"/>
  <c r="Y96" i="2" s="1"/>
  <c r="Z96" i="2" s="1"/>
  <c r="AA96" i="2" s="1"/>
  <c r="AB96" i="2" s="1"/>
  <c r="AC96" i="2" s="1"/>
  <c r="AD96" i="2" s="1"/>
  <c r="AE96" i="2" s="1"/>
  <c r="AJ460" i="2"/>
  <c r="AG460" i="2"/>
  <c r="AD460" i="2"/>
  <c r="AM460" i="2"/>
  <c r="M207" i="2"/>
  <c r="J356" i="2"/>
  <c r="J312" i="2"/>
  <c r="J418" i="2"/>
  <c r="BD82" i="2"/>
  <c r="AF82" i="2"/>
  <c r="AG82" i="2" s="1"/>
  <c r="AH82" i="2" s="1"/>
  <c r="AI82" i="2" s="1"/>
  <c r="AJ82" i="2" s="1"/>
  <c r="AK82" i="2" s="1"/>
  <c r="AL82" i="2" s="1"/>
  <c r="AM82" i="2" s="1"/>
  <c r="AN82" i="2" s="1"/>
  <c r="AF152" i="2"/>
  <c r="AG152" i="2" s="1"/>
  <c r="AH152" i="2" s="1"/>
  <c r="AI152" i="2" s="1"/>
  <c r="AJ152" i="2" s="1"/>
  <c r="AK152" i="2" s="1"/>
  <c r="AL152" i="2" s="1"/>
  <c r="AM152" i="2" s="1"/>
  <c r="AN152" i="2" s="1"/>
  <c r="BD152" i="2"/>
  <c r="AF76" i="2"/>
  <c r="AG76" i="2" s="1"/>
  <c r="AH76" i="2" s="1"/>
  <c r="AI76" i="2" s="1"/>
  <c r="AJ76" i="2" s="1"/>
  <c r="AK76" i="2" s="1"/>
  <c r="AL76" i="2" s="1"/>
  <c r="AM76" i="2" s="1"/>
  <c r="AN76" i="2" s="1"/>
  <c r="BD76" i="2"/>
  <c r="S142" i="2"/>
  <c r="T142" i="2" s="1"/>
  <c r="U142" i="2" s="1"/>
  <c r="V142" i="2" s="1"/>
  <c r="W142" i="2" s="1"/>
  <c r="X142" i="2" s="1"/>
  <c r="Y142" i="2" s="1"/>
  <c r="Z142" i="2" s="1"/>
  <c r="AA142" i="2" s="1"/>
  <c r="AB142" i="2" s="1"/>
  <c r="AC142" i="2" s="1"/>
  <c r="AD142" i="2" s="1"/>
  <c r="AE142" i="2" s="1"/>
  <c r="AQ142" i="2"/>
  <c r="AQ113" i="2"/>
  <c r="S113" i="2"/>
  <c r="T113" i="2" s="1"/>
  <c r="U113" i="2" s="1"/>
  <c r="V113" i="2" s="1"/>
  <c r="W113" i="2" s="1"/>
  <c r="X113" i="2" s="1"/>
  <c r="Y113" i="2" s="1"/>
  <c r="Z113" i="2" s="1"/>
  <c r="AA113" i="2" s="1"/>
  <c r="AB113" i="2" s="1"/>
  <c r="AC113" i="2" s="1"/>
  <c r="AD113" i="2" s="1"/>
  <c r="AE113" i="2" s="1"/>
  <c r="AQ108" i="2"/>
  <c r="S108" i="2"/>
  <c r="T108" i="2" s="1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Q55" i="2"/>
  <c r="S55" i="2"/>
  <c r="T55" i="2" s="1"/>
  <c r="U55" i="2" s="1"/>
  <c r="V55" i="2" s="1"/>
  <c r="W55" i="2" s="1"/>
  <c r="X55" i="2" s="1"/>
  <c r="Y55" i="2" s="1"/>
  <c r="Z55" i="2" s="1"/>
  <c r="AA55" i="2" s="1"/>
  <c r="AB55" i="2" s="1"/>
  <c r="AC55" i="2" s="1"/>
  <c r="AD55" i="2" s="1"/>
  <c r="AE55" i="2" s="1"/>
  <c r="S59" i="2"/>
  <c r="T59" i="2" s="1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Q59" i="2"/>
  <c r="AQ85" i="2"/>
  <c r="S85" i="2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AE85" i="2" s="1"/>
  <c r="W356" i="2"/>
  <c r="W312" i="2"/>
  <c r="W418" i="2"/>
  <c r="Z207" i="2"/>
  <c r="AQ116" i="2"/>
  <c r="S116" i="2"/>
  <c r="T116" i="2" s="1"/>
  <c r="U116" i="2" s="1"/>
  <c r="V116" i="2" s="1"/>
  <c r="W116" i="2" s="1"/>
  <c r="X116" i="2" s="1"/>
  <c r="Y116" i="2" s="1"/>
  <c r="Z116" i="2" s="1"/>
  <c r="AA116" i="2" s="1"/>
  <c r="AB116" i="2" s="1"/>
  <c r="AC116" i="2" s="1"/>
  <c r="AD116" i="2" s="1"/>
  <c r="AE116" i="2" s="1"/>
  <c r="S97" i="2"/>
  <c r="T97" i="2" s="1"/>
  <c r="U97" i="2" s="1"/>
  <c r="V97" i="2" s="1"/>
  <c r="W97" i="2" s="1"/>
  <c r="X97" i="2" s="1"/>
  <c r="Y97" i="2" s="1"/>
  <c r="Z97" i="2" s="1"/>
  <c r="AA97" i="2" s="1"/>
  <c r="AB97" i="2" s="1"/>
  <c r="AC97" i="2" s="1"/>
  <c r="AD97" i="2" s="1"/>
  <c r="AE97" i="2" s="1"/>
  <c r="AQ97" i="2"/>
  <c r="S30" i="2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Q30" i="2"/>
  <c r="T418" i="2"/>
  <c r="Q356" i="2"/>
  <c r="Q312" i="2"/>
  <c r="Q418" i="2"/>
  <c r="AM207" i="2"/>
  <c r="AJ312" i="2"/>
  <c r="D44" i="12"/>
  <c r="Q189" i="2" s="1"/>
  <c r="D124" i="12"/>
  <c r="D32" i="12"/>
  <c r="Q184" i="2" s="1"/>
  <c r="C7" i="12"/>
  <c r="D70" i="12"/>
  <c r="D51" i="12"/>
  <c r="Q195" i="2" s="1"/>
  <c r="E8" i="12"/>
  <c r="E22" i="12"/>
  <c r="AD204" i="2" s="1"/>
  <c r="C33" i="12"/>
  <c r="J202" i="2" s="1"/>
  <c r="C40" i="12"/>
  <c r="J186" i="2" s="1"/>
  <c r="C90" i="12"/>
  <c r="E36" i="12"/>
  <c r="C43" i="12"/>
  <c r="J188" i="2" s="1"/>
  <c r="E20" i="12"/>
  <c r="E64" i="12"/>
  <c r="D76" i="12"/>
  <c r="D7" i="12"/>
  <c r="C113" i="12"/>
  <c r="C137" i="12" s="1"/>
  <c r="C65" i="12"/>
  <c r="C62" i="12"/>
  <c r="J206" i="2" s="1"/>
  <c r="E48" i="12"/>
  <c r="D36" i="12"/>
  <c r="C69" i="12"/>
  <c r="J212" i="2" s="1"/>
  <c r="E29" i="12"/>
  <c r="AD182" i="2" s="1"/>
  <c r="C14" i="12"/>
  <c r="C86" i="12" s="1"/>
  <c r="C80" i="12"/>
  <c r="C110" i="12"/>
  <c r="C112" i="12"/>
  <c r="D113" i="12"/>
  <c r="D137" i="12" s="1"/>
  <c r="C23" i="12"/>
  <c r="J178" i="2" s="1"/>
  <c r="E70" i="12"/>
  <c r="C20" i="12"/>
  <c r="C61" i="12"/>
  <c r="J205" i="2" s="1"/>
  <c r="D52" i="12"/>
  <c r="Q196" i="2" s="1"/>
  <c r="C29" i="12"/>
  <c r="J182" i="2" s="1"/>
  <c r="E112" i="12"/>
  <c r="D54" i="12"/>
  <c r="Q197" i="2" s="1"/>
  <c r="D24" i="12"/>
  <c r="Q179" i="2" s="1"/>
  <c r="D112" i="12"/>
  <c r="C44" i="12"/>
  <c r="J189" i="2" s="1"/>
  <c r="D12" i="12"/>
  <c r="C37" i="12"/>
  <c r="J185" i="2" s="1"/>
  <c r="E41" i="12"/>
  <c r="AD187" i="2" s="1"/>
  <c r="E51" i="12"/>
  <c r="AD195" i="2" s="1"/>
  <c r="D81" i="12"/>
  <c r="D65" i="12"/>
  <c r="E57" i="12"/>
  <c r="AD198" i="2" s="1"/>
  <c r="C151" i="12"/>
  <c r="D35" i="12"/>
  <c r="D148" i="12"/>
  <c r="D90" i="12"/>
  <c r="C60" i="12"/>
  <c r="C24" i="12"/>
  <c r="J179" i="2" s="1"/>
  <c r="C56" i="12"/>
  <c r="J201" i="2" s="1"/>
  <c r="C87" i="12"/>
  <c r="C45" i="12"/>
  <c r="J190" i="2" s="1"/>
  <c r="C8" i="12"/>
  <c r="C67" i="12"/>
  <c r="J210" i="2" s="1"/>
  <c r="E76" i="12"/>
  <c r="C97" i="12"/>
  <c r="E126" i="12"/>
  <c r="E80" i="12"/>
  <c r="E110" i="12"/>
  <c r="C34" i="12"/>
  <c r="J203" i="2" s="1"/>
  <c r="E45" i="12"/>
  <c r="AD190" i="2" s="1"/>
  <c r="D9" i="12"/>
  <c r="E40" i="12"/>
  <c r="AD186" i="2" s="1"/>
  <c r="C148" i="12"/>
  <c r="C47" i="12"/>
  <c r="J192" i="2" s="1"/>
  <c r="D14" i="12"/>
  <c r="D86" i="12" s="1"/>
  <c r="C30" i="12"/>
  <c r="J183" i="2" s="1"/>
  <c r="D48" i="12"/>
  <c r="E148" i="12"/>
  <c r="E43" i="12"/>
  <c r="AD188" i="2" s="1"/>
  <c r="E47" i="12"/>
  <c r="AD192" i="2" s="1"/>
  <c r="C41" i="12"/>
  <c r="J187" i="2" s="1"/>
  <c r="E49" i="12"/>
  <c r="AD193" i="2" s="1"/>
  <c r="D33" i="12"/>
  <c r="Q202" i="2" s="1"/>
  <c r="D62" i="12"/>
  <c r="Q206" i="2" s="1"/>
  <c r="C22" i="12"/>
  <c r="J204" i="2" s="1"/>
  <c r="D49" i="12"/>
  <c r="Q193" i="2" s="1"/>
  <c r="D5" i="12"/>
  <c r="C125" i="12"/>
  <c r="E37" i="12"/>
  <c r="AD185" i="2" s="1"/>
  <c r="E27" i="12"/>
  <c r="AD180" i="2" s="1"/>
  <c r="E90" i="12"/>
  <c r="C108" i="12"/>
  <c r="D40" i="12"/>
  <c r="Q186" i="2" s="1"/>
  <c r="D108" i="12"/>
  <c r="D37" i="12"/>
  <c r="Q185" i="2" s="1"/>
  <c r="E24" i="12"/>
  <c r="AD179" i="2" s="1"/>
  <c r="C35" i="12"/>
  <c r="E14" i="12"/>
  <c r="E86" i="12" s="1"/>
  <c r="E111" i="12"/>
  <c r="D29" i="12"/>
  <c r="Q182" i="2" s="1"/>
  <c r="E9" i="12"/>
  <c r="E113" i="12"/>
  <c r="E137" i="12" s="1"/>
  <c r="D27" i="12"/>
  <c r="Q180" i="2" s="1"/>
  <c r="C55" i="12"/>
  <c r="J200" i="2" s="1"/>
  <c r="E60" i="12"/>
  <c r="C76" i="12"/>
  <c r="C36" i="12"/>
  <c r="D8" i="12"/>
  <c r="C46" i="12"/>
  <c r="J191" i="2" s="1"/>
  <c r="C50" i="12"/>
  <c r="J194" i="2" s="1"/>
  <c r="D38" i="12"/>
  <c r="Q209" i="2" s="1"/>
  <c r="C64" i="12"/>
  <c r="D43" i="12"/>
  <c r="Q188" i="2" s="1"/>
  <c r="D22" i="12"/>
  <c r="Q204" i="2" s="1"/>
  <c r="D60" i="12"/>
  <c r="D10" i="12"/>
  <c r="C111" i="12"/>
  <c r="E54" i="12"/>
  <c r="AD197" i="2" s="1"/>
  <c r="E52" i="12"/>
  <c r="AD196" i="2" s="1"/>
  <c r="C68" i="12"/>
  <c r="J211" i="2" s="1"/>
  <c r="C48" i="12"/>
  <c r="E10" i="12"/>
  <c r="D63" i="12"/>
  <c r="D88" i="12" s="1"/>
  <c r="D151" i="12"/>
  <c r="D11" i="12"/>
  <c r="E12" i="12"/>
  <c r="E32" i="12"/>
  <c r="AD184" i="2" s="1"/>
  <c r="D30" i="12"/>
  <c r="Q183" i="2" s="1"/>
  <c r="D34" i="12"/>
  <c r="Q203" i="2" s="1"/>
  <c r="D69" i="12"/>
  <c r="Q212" i="2" s="1"/>
  <c r="E44" i="12"/>
  <c r="AD189" i="2" s="1"/>
  <c r="D61" i="12"/>
  <c r="Q205" i="2" s="1"/>
  <c r="D57" i="12"/>
  <c r="Q198" i="2" s="1"/>
  <c r="C17" i="12"/>
  <c r="C18" i="12" s="1"/>
  <c r="E108" i="12"/>
  <c r="D20" i="12"/>
  <c r="E124" i="12"/>
  <c r="E63" i="12"/>
  <c r="E88" i="12" s="1"/>
  <c r="E151" i="12"/>
  <c r="E81" i="12"/>
  <c r="D67" i="12"/>
  <c r="Q210" i="2" s="1"/>
  <c r="E17" i="12"/>
  <c r="E18" i="12" s="1"/>
  <c r="D55" i="12"/>
  <c r="Q200" i="2" s="1"/>
  <c r="E50" i="12"/>
  <c r="AD194" i="2" s="1"/>
  <c r="C32" i="12"/>
  <c r="J184" i="2" s="1"/>
  <c r="D125" i="12"/>
  <c r="D87" i="12"/>
  <c r="E35" i="12"/>
  <c r="C51" i="12"/>
  <c r="J195" i="2" s="1"/>
  <c r="D45" i="12"/>
  <c r="Q190" i="2" s="1"/>
  <c r="E46" i="12"/>
  <c r="AD191" i="2" s="1"/>
  <c r="E97" i="12"/>
  <c r="C63" i="12"/>
  <c r="C88" i="12" s="1"/>
  <c r="E30" i="12"/>
  <c r="AD183" i="2" s="1"/>
  <c r="E38" i="12"/>
  <c r="AD209" i="2" s="1"/>
  <c r="D126" i="12"/>
  <c r="C9" i="12"/>
  <c r="E87" i="12"/>
  <c r="C11" i="12"/>
  <c r="E5" i="12"/>
  <c r="D17" i="12"/>
  <c r="D18" i="12" s="1"/>
  <c r="D110" i="12"/>
  <c r="D80" i="12"/>
  <c r="E7" i="12"/>
  <c r="E56" i="12"/>
  <c r="AD201" i="2" s="1"/>
  <c r="D56" i="12"/>
  <c r="Q201" i="2" s="1"/>
  <c r="D46" i="12"/>
  <c r="Q191" i="2" s="1"/>
  <c r="E65" i="12"/>
  <c r="D41" i="12"/>
  <c r="Q187" i="2" s="1"/>
  <c r="C81" i="12"/>
  <c r="C52" i="12"/>
  <c r="J196" i="2" s="1"/>
  <c r="D97" i="12"/>
  <c r="C57" i="12"/>
  <c r="J198" i="2" s="1"/>
  <c r="C49" i="12"/>
  <c r="J193" i="2" s="1"/>
  <c r="D68" i="12"/>
  <c r="Q211" i="2" s="1"/>
  <c r="D23" i="12"/>
  <c r="Q178" i="2" s="1"/>
  <c r="C10" i="12"/>
  <c r="C124" i="12"/>
  <c r="E55" i="12"/>
  <c r="AD200" i="2" s="1"/>
  <c r="E23" i="12"/>
  <c r="AD178" i="2" s="1"/>
  <c r="E34" i="12"/>
  <c r="AD203" i="2" s="1"/>
  <c r="C27" i="12"/>
  <c r="J180" i="2" s="1"/>
  <c r="C12" i="12"/>
  <c r="E62" i="12"/>
  <c r="AD206" i="2" s="1"/>
  <c r="E67" i="12"/>
  <c r="AD210" i="2" s="1"/>
  <c r="C38" i="12"/>
  <c r="J209" i="2" s="1"/>
  <c r="D64" i="12"/>
  <c r="E69" i="12"/>
  <c r="AD212" i="2" s="1"/>
  <c r="E33" i="12"/>
  <c r="AD202" i="2" s="1"/>
  <c r="C5" i="12"/>
  <c r="D111" i="12"/>
  <c r="D50" i="12"/>
  <c r="Q194" i="2" s="1"/>
  <c r="E61" i="12"/>
  <c r="AD205" i="2" s="1"/>
  <c r="E11" i="12"/>
  <c r="D47" i="12"/>
  <c r="Q192" i="2" s="1"/>
  <c r="E68" i="12"/>
  <c r="AD211" i="2" s="1"/>
  <c r="C54" i="12"/>
  <c r="J197" i="2" s="1"/>
  <c r="E125" i="12"/>
  <c r="C126" i="12"/>
  <c r="C70" i="12"/>
  <c r="AI340" i="2" l="1"/>
  <c r="AI338" i="2"/>
  <c r="I79" i="2"/>
  <c r="AI332" i="2"/>
  <c r="U339" i="2"/>
  <c r="AB340" i="2"/>
  <c r="AN388" i="2"/>
  <c r="B67" i="9"/>
  <c r="B33" i="15" s="1"/>
  <c r="C33" i="15" s="1"/>
  <c r="D67" i="9"/>
  <c r="H33" i="15" s="1"/>
  <c r="I33" i="15" s="1"/>
  <c r="AL340" i="2"/>
  <c r="AH340" i="2"/>
  <c r="AB283" i="2"/>
  <c r="N425" i="2"/>
  <c r="M425" i="2" s="1"/>
  <c r="AI339" i="2"/>
  <c r="AE340" i="2"/>
  <c r="AN333" i="2"/>
  <c r="AH333" i="2" s="1"/>
  <c r="AF297" i="2"/>
  <c r="V337" i="2"/>
  <c r="I334" i="2"/>
  <c r="AL339" i="2"/>
  <c r="AF292" i="2"/>
  <c r="U333" i="2"/>
  <c r="D186" i="11"/>
  <c r="D181" i="11"/>
  <c r="D182" i="11" s="1"/>
  <c r="B182" i="11"/>
  <c r="AE299" i="2"/>
  <c r="AB338" i="2"/>
  <c r="C181" i="11"/>
  <c r="C182" i="11" s="1"/>
  <c r="U345" i="2"/>
  <c r="AI294" i="2"/>
  <c r="I70" i="2"/>
  <c r="S345" i="2"/>
  <c r="AC332" i="2"/>
  <c r="I57" i="2"/>
  <c r="AL332" i="2"/>
  <c r="I63" i="2"/>
  <c r="AK339" i="2"/>
  <c r="AC339" i="2"/>
  <c r="K334" i="2"/>
  <c r="AK347" i="2"/>
  <c r="AH347" i="2"/>
  <c r="AN430" i="2"/>
  <c r="H340" i="2"/>
  <c r="L334" i="2"/>
  <c r="AK283" i="2"/>
  <c r="AC347" i="2"/>
  <c r="AF338" i="2"/>
  <c r="AH311" i="2"/>
  <c r="S288" i="2"/>
  <c r="AA338" i="2"/>
  <c r="O338" i="2" s="1"/>
  <c r="K350" i="2"/>
  <c r="AU83" i="2"/>
  <c r="AL300" i="2"/>
  <c r="I86" i="2"/>
  <c r="AI300" i="2"/>
  <c r="Y282" i="2"/>
  <c r="AA483" i="2"/>
  <c r="Q393" i="2" s="1"/>
  <c r="AN451" i="2"/>
  <c r="L53" i="2"/>
  <c r="M53" i="2" s="1"/>
  <c r="N53" i="2" s="1"/>
  <c r="X288" i="2"/>
  <c r="H351" i="2"/>
  <c r="H128" i="2" s="1"/>
  <c r="L333" i="2"/>
  <c r="K319" i="2"/>
  <c r="L340" i="2"/>
  <c r="AA332" i="2"/>
  <c r="O332" i="2" s="1"/>
  <c r="X284" i="2"/>
  <c r="L347" i="2"/>
  <c r="AK338" i="2"/>
  <c r="R347" i="2"/>
  <c r="AH338" i="2"/>
  <c r="AF347" i="2"/>
  <c r="J366" i="2"/>
  <c r="J122" i="2" s="1"/>
  <c r="U288" i="2"/>
  <c r="X347" i="2"/>
  <c r="AC304" i="2"/>
  <c r="Y347" i="2"/>
  <c r="R288" i="2"/>
  <c r="I80" i="2"/>
  <c r="P347" i="2"/>
  <c r="V288" i="2"/>
  <c r="L319" i="2"/>
  <c r="AC338" i="2"/>
  <c r="AE338" i="2"/>
  <c r="O288" i="2"/>
  <c r="AA527" i="2"/>
  <c r="Y288" i="2"/>
  <c r="AH300" i="2"/>
  <c r="I340" i="2"/>
  <c r="P345" i="2"/>
  <c r="AI311" i="2"/>
  <c r="AN459" i="2"/>
  <c r="R325" i="2"/>
  <c r="T325" i="2"/>
  <c r="Y325" i="2"/>
  <c r="I67" i="2"/>
  <c r="AC285" i="2"/>
  <c r="AK311" i="2"/>
  <c r="O325" i="2"/>
  <c r="AH299" i="2"/>
  <c r="X337" i="2"/>
  <c r="P325" i="2"/>
  <c r="AC311" i="2"/>
  <c r="AI302" i="2"/>
  <c r="H333" i="2"/>
  <c r="H140" i="2" s="1"/>
  <c r="I140" i="2" s="1"/>
  <c r="V345" i="2"/>
  <c r="V325" i="2"/>
  <c r="AL311" i="2"/>
  <c r="AE311" i="2"/>
  <c r="AB311" i="2"/>
  <c r="AK285" i="2"/>
  <c r="AB299" i="2"/>
  <c r="Z325" i="2"/>
  <c r="U347" i="2"/>
  <c r="Q325" i="2"/>
  <c r="S325" i="2"/>
  <c r="AA367" i="2"/>
  <c r="V367" i="2" s="1"/>
  <c r="F16" i="15"/>
  <c r="AA304" i="2"/>
  <c r="R300" i="2"/>
  <c r="AN417" i="2"/>
  <c r="AD417" i="2" s="1"/>
  <c r="U325" i="2"/>
  <c r="X325" i="2"/>
  <c r="O337" i="2"/>
  <c r="P339" i="2"/>
  <c r="S339" i="2"/>
  <c r="V344" i="2"/>
  <c r="I335" i="2"/>
  <c r="I129" i="2" s="1"/>
  <c r="Y339" i="2"/>
  <c r="AA349" i="2"/>
  <c r="P349" i="2" s="1"/>
  <c r="M319" i="2"/>
  <c r="I319" i="2"/>
  <c r="R336" i="2"/>
  <c r="R282" i="2"/>
  <c r="X345" i="2"/>
  <c r="Y345" i="2"/>
  <c r="P337" i="2"/>
  <c r="Y337" i="2"/>
  <c r="AL283" i="2"/>
  <c r="V339" i="2"/>
  <c r="V290" i="2"/>
  <c r="AE283" i="2"/>
  <c r="AL294" i="2"/>
  <c r="K335" i="2"/>
  <c r="AI283" i="2"/>
  <c r="Y300" i="2"/>
  <c r="R339" i="2"/>
  <c r="N362" i="2"/>
  <c r="H362" i="2" s="1"/>
  <c r="H135" i="2" s="1"/>
  <c r="H319" i="2"/>
  <c r="H71" i="2" s="1"/>
  <c r="U337" i="2"/>
  <c r="S337" i="2"/>
  <c r="AE341" i="2"/>
  <c r="O345" i="2"/>
  <c r="K304" i="2"/>
  <c r="L335" i="2"/>
  <c r="AH283" i="2"/>
  <c r="AF283" i="2"/>
  <c r="O339" i="2"/>
  <c r="L366" i="2"/>
  <c r="L365" i="2" s="1"/>
  <c r="K366" i="2"/>
  <c r="K365" i="2" s="1"/>
  <c r="S282" i="2"/>
  <c r="AL304" i="2"/>
  <c r="AE304" i="2"/>
  <c r="J328" i="2"/>
  <c r="J164" i="2" s="1"/>
  <c r="K164" i="2" s="1"/>
  <c r="L164" i="2" s="1"/>
  <c r="M164" i="2" s="1"/>
  <c r="N164" i="2" s="1"/>
  <c r="O164" i="2" s="1"/>
  <c r="P164" i="2" s="1"/>
  <c r="Q164" i="2" s="1"/>
  <c r="R164" i="2" s="1"/>
  <c r="I45" i="2"/>
  <c r="AK292" i="2"/>
  <c r="AA539" i="2"/>
  <c r="H42" i="2"/>
  <c r="I42" i="2" s="1"/>
  <c r="AB292" i="2"/>
  <c r="U300" i="2"/>
  <c r="O282" i="2"/>
  <c r="AA477" i="2"/>
  <c r="P300" i="2"/>
  <c r="P282" i="2"/>
  <c r="U282" i="2"/>
  <c r="H58" i="2"/>
  <c r="I58" i="2" s="1"/>
  <c r="X300" i="2"/>
  <c r="AN409" i="2"/>
  <c r="AD409" i="2" s="1"/>
  <c r="AA495" i="2"/>
  <c r="Q405" i="2" s="1"/>
  <c r="V300" i="2"/>
  <c r="I56" i="2"/>
  <c r="AB302" i="2"/>
  <c r="I141" i="2"/>
  <c r="I81" i="2"/>
  <c r="AL302" i="2"/>
  <c r="AC302" i="2"/>
  <c r="AA485" i="2"/>
  <c r="Q395" i="2" s="1"/>
  <c r="S300" i="2"/>
  <c r="I91" i="2"/>
  <c r="J91" i="2" s="1"/>
  <c r="K91" i="2" s="1"/>
  <c r="L91" i="2" s="1"/>
  <c r="M91" i="2" s="1"/>
  <c r="N91" i="2" s="1"/>
  <c r="I143" i="2"/>
  <c r="J37" i="2"/>
  <c r="K37" i="2" s="1"/>
  <c r="L37" i="2" s="1"/>
  <c r="AN390" i="2"/>
  <c r="AD390" i="2" s="1"/>
  <c r="U344" i="2"/>
  <c r="P344" i="2"/>
  <c r="AH285" i="2"/>
  <c r="I351" i="2"/>
  <c r="K344" i="2"/>
  <c r="I344" i="2"/>
  <c r="L344" i="2"/>
  <c r="H344" i="2"/>
  <c r="K347" i="2"/>
  <c r="L351" i="2"/>
  <c r="V336" i="2"/>
  <c r="X336" i="2"/>
  <c r="H347" i="2"/>
  <c r="U336" i="2"/>
  <c r="X344" i="2"/>
  <c r="O336" i="2"/>
  <c r="S347" i="2"/>
  <c r="O347" i="2"/>
  <c r="Y336" i="2"/>
  <c r="P336" i="2"/>
  <c r="AF341" i="2"/>
  <c r="AL285" i="2"/>
  <c r="U351" i="2"/>
  <c r="AF299" i="2"/>
  <c r="AF339" i="2"/>
  <c r="AH339" i="2"/>
  <c r="AB339" i="2"/>
  <c r="L348" i="2"/>
  <c r="H348" i="2"/>
  <c r="H106" i="2" s="1"/>
  <c r="K348" i="2"/>
  <c r="I348" i="2"/>
  <c r="AJ271" i="2"/>
  <c r="AJ368" i="2"/>
  <c r="AG273" i="2"/>
  <c r="AF22" i="18"/>
  <c r="AG328" i="2"/>
  <c r="D34" i="14"/>
  <c r="D35" i="14" s="1"/>
  <c r="C34" i="14"/>
  <c r="C35" i="14" s="1"/>
  <c r="N32" i="18" s="1"/>
  <c r="E34" i="14"/>
  <c r="E35" i="14" s="1"/>
  <c r="AA492" i="2"/>
  <c r="Q402" i="2" s="1"/>
  <c r="AA346" i="2"/>
  <c r="X297" i="2"/>
  <c r="R297" i="2"/>
  <c r="S297" i="2"/>
  <c r="O297" i="2"/>
  <c r="V297" i="2"/>
  <c r="P297" i="2"/>
  <c r="AA536" i="2"/>
  <c r="U343" i="2"/>
  <c r="P343" i="2"/>
  <c r="O343" i="2"/>
  <c r="Y343" i="2"/>
  <c r="S343" i="2"/>
  <c r="V343" i="2"/>
  <c r="R343" i="2"/>
  <c r="X343" i="2"/>
  <c r="O333" i="2"/>
  <c r="V333" i="2"/>
  <c r="R333" i="2"/>
  <c r="X324" i="2"/>
  <c r="X323" i="2" s="1"/>
  <c r="X327" i="2" s="1"/>
  <c r="P324" i="2"/>
  <c r="P323" i="2" s="1"/>
  <c r="P327" i="2" s="1"/>
  <c r="V324" i="2"/>
  <c r="V323" i="2" s="1"/>
  <c r="V327" i="2" s="1"/>
  <c r="O324" i="2"/>
  <c r="O323" i="2" s="1"/>
  <c r="O327" i="2" s="1"/>
  <c r="AA366" i="2"/>
  <c r="Q366" i="2" s="1"/>
  <c r="R324" i="2"/>
  <c r="R323" i="2" s="1"/>
  <c r="R327" i="2" s="1"/>
  <c r="AN374" i="2"/>
  <c r="G23" i="2"/>
  <c r="G24" i="2" s="1"/>
  <c r="AB294" i="2"/>
  <c r="P350" i="2"/>
  <c r="U290" i="2"/>
  <c r="O290" i="2"/>
  <c r="AN441" i="2"/>
  <c r="G171" i="2"/>
  <c r="Q324" i="2"/>
  <c r="N36" i="18"/>
  <c r="I40" i="15"/>
  <c r="AN324" i="2"/>
  <c r="AG324" i="2" s="1"/>
  <c r="AA521" i="2"/>
  <c r="V282" i="2"/>
  <c r="AN353" i="2"/>
  <c r="AD353" i="2" s="1"/>
  <c r="AH304" i="2"/>
  <c r="AI304" i="2"/>
  <c r="AF304" i="2"/>
  <c r="AB304" i="2"/>
  <c r="L345" i="2"/>
  <c r="K345" i="2"/>
  <c r="I345" i="2"/>
  <c r="I119" i="2" s="1"/>
  <c r="AH292" i="2"/>
  <c r="AN397" i="2"/>
  <c r="AD397" i="2" s="1"/>
  <c r="AN439" i="2"/>
  <c r="AI292" i="2"/>
  <c r="AC292" i="2"/>
  <c r="AL292" i="2"/>
  <c r="AN342" i="2"/>
  <c r="AA319" i="2"/>
  <c r="F44" i="15"/>
  <c r="R344" i="2"/>
  <c r="Y344" i="2"/>
  <c r="O344" i="2"/>
  <c r="B186" i="11"/>
  <c r="R350" i="2"/>
  <c r="O350" i="2"/>
  <c r="S350" i="2"/>
  <c r="U350" i="2"/>
  <c r="V350" i="2"/>
  <c r="X350" i="2"/>
  <c r="R284" i="2"/>
  <c r="AA334" i="2"/>
  <c r="U334" i="2" s="1"/>
  <c r="Y324" i="2"/>
  <c r="Y323" i="2" s="1"/>
  <c r="Y327" i="2" s="1"/>
  <c r="P333" i="2"/>
  <c r="L342" i="2"/>
  <c r="K277" i="2"/>
  <c r="I50" i="2"/>
  <c r="AK294" i="2"/>
  <c r="U297" i="2"/>
  <c r="M213" i="2"/>
  <c r="U324" i="2"/>
  <c r="U323" i="2" s="1"/>
  <c r="U327" i="2" s="1"/>
  <c r="X333" i="2"/>
  <c r="AB277" i="2"/>
  <c r="AY83" i="2"/>
  <c r="AF277" i="2"/>
  <c r="Y290" i="2"/>
  <c r="AN399" i="2"/>
  <c r="AD399" i="2" s="1"/>
  <c r="K333" i="2"/>
  <c r="Z39" i="18"/>
  <c r="N45" i="18"/>
  <c r="N53" i="18" s="1"/>
  <c r="N40" i="18"/>
  <c r="N44" i="18"/>
  <c r="D65" i="10"/>
  <c r="D68" i="10" s="1"/>
  <c r="H34" i="15" s="1"/>
  <c r="I34" i="15" s="1"/>
  <c r="C21" i="14"/>
  <c r="N451" i="2"/>
  <c r="N353" i="2"/>
  <c r="H304" i="2"/>
  <c r="H28" i="2" s="1"/>
  <c r="I304" i="2"/>
  <c r="N409" i="2"/>
  <c r="G409" i="2" s="1"/>
  <c r="J409" i="2" s="1"/>
  <c r="B68" i="10"/>
  <c r="B34" i="15" s="1"/>
  <c r="C34" i="15" s="1"/>
  <c r="B185" i="11"/>
  <c r="AF302" i="2"/>
  <c r="AN449" i="2"/>
  <c r="AN407" i="2"/>
  <c r="AD407" i="2" s="1"/>
  <c r="AN351" i="2"/>
  <c r="AK302" i="2"/>
  <c r="AH302" i="2"/>
  <c r="AH296" i="2"/>
  <c r="AF296" i="2"/>
  <c r="AL296" i="2"/>
  <c r="AC296" i="2"/>
  <c r="AN401" i="2"/>
  <c r="AD401" i="2" s="1"/>
  <c r="AI296" i="2"/>
  <c r="AB296" i="2"/>
  <c r="AN443" i="2"/>
  <c r="AK296" i="2"/>
  <c r="AN345" i="2"/>
  <c r="AE296" i="2"/>
  <c r="AL347" i="2"/>
  <c r="AE347" i="2"/>
  <c r="AI347" i="2"/>
  <c r="D187" i="11"/>
  <c r="D190" i="11" s="1"/>
  <c r="AN444" i="2"/>
  <c r="AN402" i="2"/>
  <c r="AD402" i="2" s="1"/>
  <c r="AN346" i="2"/>
  <c r="AC297" i="2"/>
  <c r="AE297" i="2"/>
  <c r="AH297" i="2"/>
  <c r="AL297" i="2"/>
  <c r="AB297" i="2"/>
  <c r="AK297" i="2"/>
  <c r="AA529" i="2"/>
  <c r="S290" i="2"/>
  <c r="X290" i="2"/>
  <c r="P290" i="2"/>
  <c r="AA523" i="2"/>
  <c r="Y284" i="2"/>
  <c r="V284" i="2"/>
  <c r="P284" i="2"/>
  <c r="AA479" i="2"/>
  <c r="Q389" i="2" s="1"/>
  <c r="S284" i="2"/>
  <c r="AF294" i="2"/>
  <c r="S333" i="2"/>
  <c r="I89" i="2"/>
  <c r="AE294" i="2"/>
  <c r="R290" i="2"/>
  <c r="AH294" i="2"/>
  <c r="AM271" i="2"/>
  <c r="K45" i="18"/>
  <c r="K53" i="18" s="1"/>
  <c r="Y297" i="2"/>
  <c r="C65" i="10"/>
  <c r="C68" i="10" s="1"/>
  <c r="E34" i="15" s="1"/>
  <c r="F34" i="15" s="1"/>
  <c r="AN446" i="2"/>
  <c r="AK299" i="2"/>
  <c r="AI299" i="2"/>
  <c r="AN348" i="2"/>
  <c r="AN404" i="2"/>
  <c r="AD404" i="2" s="1"/>
  <c r="AL299" i="2"/>
  <c r="U284" i="2"/>
  <c r="C187" i="11"/>
  <c r="C191" i="11" s="1"/>
  <c r="AN432" i="2"/>
  <c r="AE285" i="2"/>
  <c r="AI285" i="2"/>
  <c r="AF285" i="2"/>
  <c r="AN335" i="2"/>
  <c r="AN405" i="2"/>
  <c r="AD405" i="2" s="1"/>
  <c r="AC300" i="2"/>
  <c r="AN349" i="2"/>
  <c r="AE300" i="2"/>
  <c r="AN447" i="2"/>
  <c r="AB300" i="2"/>
  <c r="AK300" i="2"/>
  <c r="AH332" i="2"/>
  <c r="AK332" i="2"/>
  <c r="AB332" i="2"/>
  <c r="AE332" i="2"/>
  <c r="L350" i="2"/>
  <c r="I350" i="2"/>
  <c r="AA530" i="2"/>
  <c r="O291" i="2"/>
  <c r="Y291" i="2"/>
  <c r="AA341" i="2"/>
  <c r="S291" i="2"/>
  <c r="AA486" i="2"/>
  <c r="Q396" i="2" s="1"/>
  <c r="P291" i="2"/>
  <c r="V291" i="2"/>
  <c r="U291" i="2"/>
  <c r="X291" i="2"/>
  <c r="AW83" i="2"/>
  <c r="AG271" i="2"/>
  <c r="AG326" i="2"/>
  <c r="AG368" i="2"/>
  <c r="AF98" i="2"/>
  <c r="AG98" i="2" s="1"/>
  <c r="AH98" i="2" s="1"/>
  <c r="AI98" i="2" s="1"/>
  <c r="AJ98" i="2" s="1"/>
  <c r="AK98" i="2" s="1"/>
  <c r="AL98" i="2" s="1"/>
  <c r="AM98" i="2" s="1"/>
  <c r="AN98" i="2" s="1"/>
  <c r="AX114" i="2"/>
  <c r="AT41" i="2"/>
  <c r="AT83" i="2"/>
  <c r="G23" i="18"/>
  <c r="G45" i="18"/>
  <c r="G53" i="18" s="1"/>
  <c r="AB24" i="18"/>
  <c r="Y45" i="18"/>
  <c r="Y53" i="18" s="1"/>
  <c r="Y23" i="18"/>
  <c r="H45" i="18"/>
  <c r="H53" i="18" s="1"/>
  <c r="H23" i="18"/>
  <c r="H24" i="18" s="1"/>
  <c r="AG45" i="18"/>
  <c r="AG53" i="18" s="1"/>
  <c r="AG23" i="18"/>
  <c r="AG24" i="18" s="1"/>
  <c r="V45" i="18"/>
  <c r="V53" i="18" s="1"/>
  <c r="V23" i="18"/>
  <c r="V24" i="18" s="1"/>
  <c r="D45" i="18"/>
  <c r="D53" i="18" s="1"/>
  <c r="D23" i="18"/>
  <c r="BB83" i="2"/>
  <c r="AF83" i="2"/>
  <c r="AG83" i="2" s="1"/>
  <c r="AH83" i="2" s="1"/>
  <c r="AI83" i="2" s="1"/>
  <c r="AJ83" i="2" s="1"/>
  <c r="AK83" i="2" s="1"/>
  <c r="AL83" i="2" s="1"/>
  <c r="AM83" i="2" s="1"/>
  <c r="AN83" i="2" s="1"/>
  <c r="R224" i="2"/>
  <c r="AZ83" i="2"/>
  <c r="J23" i="18"/>
  <c r="J24" i="18" s="1"/>
  <c r="J45" i="18"/>
  <c r="J53" i="18" s="1"/>
  <c r="AH45" i="18"/>
  <c r="AH53" i="18" s="1"/>
  <c r="AH23" i="18"/>
  <c r="AH24" i="18" s="1"/>
  <c r="M23" i="18"/>
  <c r="M24" i="18" s="1"/>
  <c r="M45" i="18"/>
  <c r="M53" i="18" s="1"/>
  <c r="AD22" i="18"/>
  <c r="AE273" i="2"/>
  <c r="P45" i="18"/>
  <c r="P53" i="18" s="1"/>
  <c r="P23" i="18"/>
  <c r="P24" i="18" s="1"/>
  <c r="AB23" i="18"/>
  <c r="AB45" i="18"/>
  <c r="AB53" i="18" s="1"/>
  <c r="S45" i="18"/>
  <c r="S53" i="18" s="1"/>
  <c r="S23" i="18"/>
  <c r="S24" i="18" s="1"/>
  <c r="I45" i="18"/>
  <c r="I53" i="18" s="1"/>
  <c r="I23" i="18"/>
  <c r="J271" i="2"/>
  <c r="J274" i="2" s="1"/>
  <c r="J368" i="2"/>
  <c r="J167" i="2" s="1"/>
  <c r="J326" i="2"/>
  <c r="J162" i="2" s="1"/>
  <c r="K162" i="2" s="1"/>
  <c r="L162" i="2" s="1"/>
  <c r="G24" i="18"/>
  <c r="Y24" i="18"/>
  <c r="F45" i="18"/>
  <c r="F53" i="18" s="1"/>
  <c r="F23" i="18"/>
  <c r="F24" i="18" s="1"/>
  <c r="AA23" i="18"/>
  <c r="AA24" i="18" s="1"/>
  <c r="AA45" i="18"/>
  <c r="AA53" i="18" s="1"/>
  <c r="AE23" i="18"/>
  <c r="AE24" i="18" s="1"/>
  <c r="AE45" i="18"/>
  <c r="AE53" i="18" s="1"/>
  <c r="E23" i="18"/>
  <c r="E24" i="18" s="1"/>
  <c r="E45" i="18"/>
  <c r="E53" i="18" s="1"/>
  <c r="AR83" i="2"/>
  <c r="BC83" i="2"/>
  <c r="Z40" i="18"/>
  <c r="O23" i="18"/>
  <c r="O45" i="18"/>
  <c r="O53" i="18" s="1"/>
  <c r="U45" i="18"/>
  <c r="U53" i="18" s="1"/>
  <c r="U23" i="18"/>
  <c r="U24" i="18" s="1"/>
  <c r="C23" i="18"/>
  <c r="C24" i="18" s="1"/>
  <c r="C45" i="18"/>
  <c r="C53" i="18" s="1"/>
  <c r="I24" i="18"/>
  <c r="O24" i="18"/>
  <c r="D24" i="18"/>
  <c r="X45" i="18"/>
  <c r="X53" i="18" s="1"/>
  <c r="X23" i="18"/>
  <c r="X24" i="18" s="1"/>
  <c r="L23" i="18"/>
  <c r="L24" i="18" s="1"/>
  <c r="L45" i="18"/>
  <c r="L53" i="18" s="1"/>
  <c r="AJ23" i="18"/>
  <c r="AJ24" i="18" s="1"/>
  <c r="AJ45" i="18"/>
  <c r="AJ53" i="18" s="1"/>
  <c r="M368" i="2"/>
  <c r="M326" i="2"/>
  <c r="M271" i="2"/>
  <c r="M274" i="2" s="1"/>
  <c r="AF46" i="2"/>
  <c r="AG46" i="2" s="1"/>
  <c r="AH46" i="2" s="1"/>
  <c r="AI46" i="2" s="1"/>
  <c r="AJ46" i="2" s="1"/>
  <c r="AK46" i="2" s="1"/>
  <c r="AL46" i="2" s="1"/>
  <c r="AM46" i="2" s="1"/>
  <c r="AN46" i="2" s="1"/>
  <c r="AV83" i="2"/>
  <c r="AS83" i="2"/>
  <c r="BA74" i="2"/>
  <c r="AW147" i="2"/>
  <c r="BD149" i="2"/>
  <c r="BC149" i="2" s="1"/>
  <c r="AX83" i="2"/>
  <c r="BA93" i="2"/>
  <c r="AF78" i="2"/>
  <c r="AG78" i="2" s="1"/>
  <c r="AH78" i="2" s="1"/>
  <c r="AI78" i="2" s="1"/>
  <c r="AJ78" i="2" s="1"/>
  <c r="AK78" i="2" s="1"/>
  <c r="AL78" i="2" s="1"/>
  <c r="AM78" i="2" s="1"/>
  <c r="AN78" i="2" s="1"/>
  <c r="AW84" i="2"/>
  <c r="AY60" i="2"/>
  <c r="AU62" i="2"/>
  <c r="AM368" i="2"/>
  <c r="AR147" i="2"/>
  <c r="BD61" i="2"/>
  <c r="AU61" i="2" s="1"/>
  <c r="BD112" i="2"/>
  <c r="BA112" i="2" s="1"/>
  <c r="BD126" i="2"/>
  <c r="AU126" i="2" s="1"/>
  <c r="AL32" i="18"/>
  <c r="AR62" i="2"/>
  <c r="BC46" i="2"/>
  <c r="BD151" i="2"/>
  <c r="AR151" i="2" s="1"/>
  <c r="AC23" i="18"/>
  <c r="AC24" i="18" s="1"/>
  <c r="AF44" i="2"/>
  <c r="AG44" i="2" s="1"/>
  <c r="AH44" i="2" s="1"/>
  <c r="AI44" i="2" s="1"/>
  <c r="AJ44" i="2" s="1"/>
  <c r="AK44" i="2" s="1"/>
  <c r="AL44" i="2" s="1"/>
  <c r="AM44" i="2" s="1"/>
  <c r="AN44" i="2" s="1"/>
  <c r="AU93" i="2"/>
  <c r="AL37" i="18"/>
  <c r="AL39" i="18" s="1"/>
  <c r="AM328" i="2" s="1"/>
  <c r="AI45" i="18"/>
  <c r="AI53" i="18" s="1"/>
  <c r="AJ328" i="2"/>
  <c r="AJ273" i="2"/>
  <c r="AL40" i="18"/>
  <c r="AT44" i="2"/>
  <c r="AY44" i="2"/>
  <c r="AU46" i="2"/>
  <c r="BD69" i="2"/>
  <c r="BC69" i="2" s="1"/>
  <c r="AT62" i="2"/>
  <c r="AY84" i="2"/>
  <c r="AS147" i="2"/>
  <c r="BC147" i="2"/>
  <c r="AW93" i="2"/>
  <c r="AX84" i="2"/>
  <c r="N24" i="18"/>
  <c r="AJ326" i="2"/>
  <c r="AW94" i="2"/>
  <c r="AZ94" i="2"/>
  <c r="AX94" i="2"/>
  <c r="AY94" i="2"/>
  <c r="AS94" i="2"/>
  <c r="BC94" i="2"/>
  <c r="AR94" i="2"/>
  <c r="AT94" i="2"/>
  <c r="AY114" i="2"/>
  <c r="BD92" i="2"/>
  <c r="AW92" i="2" s="1"/>
  <c r="AR84" i="2"/>
  <c r="AZ84" i="2"/>
  <c r="AF94" i="2"/>
  <c r="AG94" i="2" s="1"/>
  <c r="AH94" i="2" s="1"/>
  <c r="AI94" i="2" s="1"/>
  <c r="AJ94" i="2" s="1"/>
  <c r="AK94" i="2" s="1"/>
  <c r="AL94" i="2" s="1"/>
  <c r="AM94" i="2" s="1"/>
  <c r="AN94" i="2" s="1"/>
  <c r="N59" i="18"/>
  <c r="M222" i="2"/>
  <c r="M323" i="2" s="1"/>
  <c r="M327" i="2" s="1"/>
  <c r="BA84" i="2"/>
  <c r="BC84" i="2"/>
  <c r="AU84" i="2"/>
  <c r="M365" i="2"/>
  <c r="M369" i="2" s="1"/>
  <c r="AT84" i="2"/>
  <c r="BD39" i="2"/>
  <c r="BA39" i="2" s="1"/>
  <c r="K59" i="18"/>
  <c r="J222" i="2"/>
  <c r="AV84" i="2"/>
  <c r="BB78" i="2"/>
  <c r="AS78" i="2"/>
  <c r="Q45" i="18"/>
  <c r="Q53" i="18" s="1"/>
  <c r="Q271" i="2"/>
  <c r="Q274" i="2" s="1"/>
  <c r="Q368" i="2"/>
  <c r="Q23" i="18"/>
  <c r="Q24" i="18" s="1"/>
  <c r="Q326" i="2"/>
  <c r="AF35" i="18"/>
  <c r="AF56" i="18"/>
  <c r="AI23" i="18"/>
  <c r="AI24" i="18" s="1"/>
  <c r="AJ272" i="2"/>
  <c r="AJ274" i="2" s="1"/>
  <c r="AD45" i="18"/>
  <c r="AD53" i="18" s="1"/>
  <c r="AE272" i="2"/>
  <c r="AE274" i="2" s="1"/>
  <c r="AD23" i="18"/>
  <c r="AD24" i="18" s="1"/>
  <c r="T35" i="18"/>
  <c r="AJ267" i="2"/>
  <c r="AI57" i="18"/>
  <c r="AI56" i="18" s="1"/>
  <c r="AL58" i="18"/>
  <c r="AL60" i="18" s="1"/>
  <c r="W328" i="2"/>
  <c r="W273" i="2"/>
  <c r="W22" i="18"/>
  <c r="AY147" i="2"/>
  <c r="AU147" i="2"/>
  <c r="AZ74" i="2"/>
  <c r="BB60" i="2"/>
  <c r="BB147" i="2"/>
  <c r="AZ147" i="2"/>
  <c r="AY41" i="2"/>
  <c r="AY93" i="2"/>
  <c r="AW41" i="2"/>
  <c r="AD272" i="2"/>
  <c r="AD274" i="2" s="1"/>
  <c r="R23" i="18"/>
  <c r="R24" i="18" s="1"/>
  <c r="R272" i="2"/>
  <c r="R274" i="2" s="1"/>
  <c r="R45" i="18"/>
  <c r="R53" i="18" s="1"/>
  <c r="Q222" i="2"/>
  <c r="Q59" i="18"/>
  <c r="AE222" i="2"/>
  <c r="AD59" i="18"/>
  <c r="AD222" i="2"/>
  <c r="AC59" i="18"/>
  <c r="T31" i="18"/>
  <c r="W29" i="18"/>
  <c r="AL35" i="18"/>
  <c r="BD40" i="2"/>
  <c r="AF40" i="2"/>
  <c r="AG40" i="2" s="1"/>
  <c r="AH40" i="2" s="1"/>
  <c r="AI40" i="2" s="1"/>
  <c r="AJ40" i="2" s="1"/>
  <c r="AK40" i="2" s="1"/>
  <c r="AL40" i="2" s="1"/>
  <c r="AM40" i="2" s="1"/>
  <c r="AN40" i="2" s="1"/>
  <c r="T267" i="2"/>
  <c r="W58" i="18"/>
  <c r="T57" i="18"/>
  <c r="T56" i="18" s="1"/>
  <c r="Z328" i="2"/>
  <c r="Z22" i="18"/>
  <c r="Z273" i="2"/>
  <c r="AZ93" i="2"/>
  <c r="AX93" i="2"/>
  <c r="AU41" i="2"/>
  <c r="AX41" i="2"/>
  <c r="AA277" i="2"/>
  <c r="AT13" i="2"/>
  <c r="BB13" i="2"/>
  <c r="X351" i="2"/>
  <c r="AK341" i="2"/>
  <c r="I109" i="2"/>
  <c r="J109" i="2" s="1"/>
  <c r="K109" i="2" s="1"/>
  <c r="L109" i="2" s="1"/>
  <c r="X342" i="2"/>
  <c r="V342" i="2"/>
  <c r="U342" i="2"/>
  <c r="Y342" i="2"/>
  <c r="O342" i="2"/>
  <c r="R342" i="2"/>
  <c r="P342" i="2"/>
  <c r="S342" i="2"/>
  <c r="AE344" i="2"/>
  <c r="AB344" i="2"/>
  <c r="AH344" i="2"/>
  <c r="AL344" i="2"/>
  <c r="AF344" i="2"/>
  <c r="AK344" i="2"/>
  <c r="AC344" i="2"/>
  <c r="AI344" i="2"/>
  <c r="AS84" i="2"/>
  <c r="BB84" i="2"/>
  <c r="BC41" i="2"/>
  <c r="BA41" i="2"/>
  <c r="AZ41" i="2"/>
  <c r="Y340" i="2"/>
  <c r="S340" i="2"/>
  <c r="P340" i="2"/>
  <c r="X340" i="2"/>
  <c r="V340" i="2"/>
  <c r="O340" i="2"/>
  <c r="R340" i="2"/>
  <c r="U340" i="2"/>
  <c r="BD51" i="2"/>
  <c r="AT51" i="2" s="1"/>
  <c r="AX74" i="2"/>
  <c r="BB41" i="2"/>
  <c r="AR41" i="2"/>
  <c r="AC277" i="2"/>
  <c r="AH341" i="2"/>
  <c r="V351" i="2"/>
  <c r="P351" i="2"/>
  <c r="S351" i="2"/>
  <c r="Y351" i="2"/>
  <c r="AX13" i="2"/>
  <c r="AY13" i="2"/>
  <c r="AU13" i="2"/>
  <c r="AC341" i="2"/>
  <c r="I338" i="2"/>
  <c r="K338" i="2"/>
  <c r="L338" i="2"/>
  <c r="H338" i="2"/>
  <c r="H133" i="2" s="1"/>
  <c r="AE343" i="2"/>
  <c r="AL343" i="2"/>
  <c r="AF343" i="2"/>
  <c r="AI343" i="2"/>
  <c r="AC343" i="2"/>
  <c r="AK343" i="2"/>
  <c r="AH343" i="2"/>
  <c r="AB343" i="2"/>
  <c r="AI333" i="2"/>
  <c r="AS41" i="2"/>
  <c r="AV41" i="2"/>
  <c r="AZ13" i="2"/>
  <c r="BA13" i="2"/>
  <c r="AW13" i="2"/>
  <c r="P277" i="2"/>
  <c r="AB341" i="2"/>
  <c r="AL341" i="2"/>
  <c r="I342" i="2"/>
  <c r="H342" i="2"/>
  <c r="BA94" i="2"/>
  <c r="AU94" i="2"/>
  <c r="AV94" i="2"/>
  <c r="BB94" i="2"/>
  <c r="AI277" i="2"/>
  <c r="J159" i="2"/>
  <c r="I20" i="2"/>
  <c r="R351" i="2"/>
  <c r="K367" i="2"/>
  <c r="J367" i="2"/>
  <c r="M367" i="2"/>
  <c r="H367" i="2"/>
  <c r="I367" i="2"/>
  <c r="AI334" i="2"/>
  <c r="AL334" i="2"/>
  <c r="AK334" i="2"/>
  <c r="AC334" i="2"/>
  <c r="AB334" i="2"/>
  <c r="AE334" i="2"/>
  <c r="AH334" i="2"/>
  <c r="AF334" i="2"/>
  <c r="H27" i="2"/>
  <c r="I72" i="2"/>
  <c r="AA374" i="2"/>
  <c r="X335" i="2"/>
  <c r="P335" i="2"/>
  <c r="O335" i="2"/>
  <c r="Y335" i="2"/>
  <c r="S335" i="2"/>
  <c r="R335" i="2"/>
  <c r="V335" i="2"/>
  <c r="U335" i="2"/>
  <c r="AC319" i="2"/>
  <c r="AN425" i="2"/>
  <c r="AE319" i="2"/>
  <c r="AJ319" i="2"/>
  <c r="AL319" i="2"/>
  <c r="AB319" i="2"/>
  <c r="AD319" i="2"/>
  <c r="AK319" i="2"/>
  <c r="AF319" i="2"/>
  <c r="AG319" i="2"/>
  <c r="AH319" i="2"/>
  <c r="AN362" i="2"/>
  <c r="AI319" i="2"/>
  <c r="AM319" i="2"/>
  <c r="H343" i="2"/>
  <c r="K343" i="2"/>
  <c r="L343" i="2"/>
  <c r="I343" i="2"/>
  <c r="BD148" i="2"/>
  <c r="AF148" i="2"/>
  <c r="AG148" i="2" s="1"/>
  <c r="AH148" i="2" s="1"/>
  <c r="AI148" i="2" s="1"/>
  <c r="AJ148" i="2" s="1"/>
  <c r="AK148" i="2" s="1"/>
  <c r="AL148" i="2" s="1"/>
  <c r="AM148" i="2" s="1"/>
  <c r="AN148" i="2" s="1"/>
  <c r="AR74" i="2"/>
  <c r="AU74" i="2"/>
  <c r="AT74" i="2"/>
  <c r="AY74" i="2"/>
  <c r="AW74" i="2"/>
  <c r="BC44" i="2"/>
  <c r="AU44" i="2"/>
  <c r="AS44" i="2"/>
  <c r="AW44" i="2"/>
  <c r="AX44" i="2"/>
  <c r="AR44" i="2"/>
  <c r="BA44" i="2"/>
  <c r="AZ44" i="2"/>
  <c r="BB44" i="2"/>
  <c r="AV44" i="2"/>
  <c r="AV74" i="2"/>
  <c r="BC74" i="2"/>
  <c r="AK277" i="2"/>
  <c r="AC350" i="2"/>
  <c r="AH350" i="2"/>
  <c r="AE350" i="2"/>
  <c r="AL350" i="2"/>
  <c r="AK350" i="2"/>
  <c r="AB350" i="2"/>
  <c r="AF350" i="2"/>
  <c r="AI350" i="2"/>
  <c r="K341" i="2"/>
  <c r="H341" i="2"/>
  <c r="L341" i="2"/>
  <c r="I341" i="2"/>
  <c r="V348" i="2"/>
  <c r="S348" i="2"/>
  <c r="X348" i="2"/>
  <c r="R348" i="2"/>
  <c r="U348" i="2"/>
  <c r="O348" i="2"/>
  <c r="Y348" i="2"/>
  <c r="P348" i="2"/>
  <c r="BB93" i="2"/>
  <c r="AS93" i="2"/>
  <c r="AV93" i="2"/>
  <c r="BC93" i="2"/>
  <c r="AR93" i="2"/>
  <c r="AT93" i="2"/>
  <c r="BA147" i="2"/>
  <c r="AX147" i="2"/>
  <c r="AT147" i="2"/>
  <c r="AV147" i="2"/>
  <c r="L339" i="2"/>
  <c r="I339" i="2"/>
  <c r="H339" i="2"/>
  <c r="H132" i="2" s="1"/>
  <c r="K339" i="2"/>
  <c r="I332" i="2"/>
  <c r="H332" i="2"/>
  <c r="K332" i="2"/>
  <c r="L332" i="2"/>
  <c r="AI337" i="2"/>
  <c r="AH337" i="2"/>
  <c r="AE337" i="2"/>
  <c r="AB337" i="2"/>
  <c r="AF337" i="2"/>
  <c r="AK337" i="2"/>
  <c r="AL337" i="2"/>
  <c r="AC337" i="2"/>
  <c r="AQ54" i="2"/>
  <c r="S54" i="2"/>
  <c r="T54" i="2" s="1"/>
  <c r="U54" i="2" s="1"/>
  <c r="V54" i="2" s="1"/>
  <c r="W54" i="2" s="1"/>
  <c r="X54" i="2" s="1"/>
  <c r="Y54" i="2" s="1"/>
  <c r="Z54" i="2" s="1"/>
  <c r="AA54" i="2" s="1"/>
  <c r="AB54" i="2" s="1"/>
  <c r="AC54" i="2" s="1"/>
  <c r="AD54" i="2" s="1"/>
  <c r="AE54" i="2" s="1"/>
  <c r="AE336" i="2"/>
  <c r="AL336" i="2"/>
  <c r="AF336" i="2"/>
  <c r="AH336" i="2"/>
  <c r="AC336" i="2"/>
  <c r="AB336" i="2"/>
  <c r="AI336" i="2"/>
  <c r="AK336" i="2"/>
  <c r="L346" i="2"/>
  <c r="K346" i="2"/>
  <c r="I346" i="2"/>
  <c r="H346" i="2"/>
  <c r="AT60" i="2"/>
  <c r="BA60" i="2"/>
  <c r="AV60" i="2"/>
  <c r="AU60" i="2"/>
  <c r="AW60" i="2"/>
  <c r="AZ60" i="2"/>
  <c r="AR60" i="2"/>
  <c r="BC60" i="2"/>
  <c r="AX60" i="2"/>
  <c r="AS60" i="2"/>
  <c r="AS74" i="2"/>
  <c r="BB74" i="2"/>
  <c r="L367" i="2"/>
  <c r="I19" i="2"/>
  <c r="J156" i="2"/>
  <c r="AJ356" i="2"/>
  <c r="AJ418" i="2"/>
  <c r="I169" i="2"/>
  <c r="I22" i="2" s="1"/>
  <c r="AS62" i="2"/>
  <c r="AZ62" i="2"/>
  <c r="AY62" i="2"/>
  <c r="BA62" i="2"/>
  <c r="AV62" i="2"/>
  <c r="BB62" i="2"/>
  <c r="AX62" i="2"/>
  <c r="BC62" i="2"/>
  <c r="AW62" i="2"/>
  <c r="BD136" i="2"/>
  <c r="AF136" i="2"/>
  <c r="AG136" i="2" s="1"/>
  <c r="AH136" i="2" s="1"/>
  <c r="AI136" i="2" s="1"/>
  <c r="AJ136" i="2" s="1"/>
  <c r="AK136" i="2" s="1"/>
  <c r="AL136" i="2" s="1"/>
  <c r="AM136" i="2" s="1"/>
  <c r="AN136" i="2" s="1"/>
  <c r="AV78" i="2"/>
  <c r="AZ78" i="2"/>
  <c r="AU78" i="2"/>
  <c r="BC78" i="2"/>
  <c r="AX78" i="2"/>
  <c r="AW78" i="2"/>
  <c r="AR78" i="2"/>
  <c r="AY78" i="2"/>
  <c r="AT78" i="2"/>
  <c r="BA78" i="2"/>
  <c r="AZ134" i="2"/>
  <c r="AV134" i="2"/>
  <c r="AS134" i="2"/>
  <c r="AR134" i="2"/>
  <c r="BC134" i="2"/>
  <c r="BB134" i="2"/>
  <c r="AY134" i="2"/>
  <c r="AX134" i="2"/>
  <c r="AU134" i="2"/>
  <c r="AT134" i="2"/>
  <c r="BA134" i="2"/>
  <c r="AW134" i="2"/>
  <c r="AZ46" i="2"/>
  <c r="AX46" i="2"/>
  <c r="AS46" i="2"/>
  <c r="BB46" i="2"/>
  <c r="AW46" i="2"/>
  <c r="AT46" i="2"/>
  <c r="AV46" i="2"/>
  <c r="BA46" i="2"/>
  <c r="AY46" i="2"/>
  <c r="AS114" i="2"/>
  <c r="AU114" i="2"/>
  <c r="BA114" i="2"/>
  <c r="AZ114" i="2"/>
  <c r="AW114" i="2"/>
  <c r="AT114" i="2"/>
  <c r="AV114" i="2"/>
  <c r="BC114" i="2"/>
  <c r="BB114" i="2"/>
  <c r="AR114" i="2"/>
  <c r="AM356" i="2"/>
  <c r="AM418" i="2"/>
  <c r="AM312" i="2"/>
  <c r="AF116" i="2"/>
  <c r="AG116" i="2" s="1"/>
  <c r="AH116" i="2" s="1"/>
  <c r="AI116" i="2" s="1"/>
  <c r="AJ116" i="2" s="1"/>
  <c r="AK116" i="2" s="1"/>
  <c r="AL116" i="2" s="1"/>
  <c r="AM116" i="2" s="1"/>
  <c r="AN116" i="2" s="1"/>
  <c r="BD116" i="2"/>
  <c r="BD142" i="2"/>
  <c r="AF142" i="2"/>
  <c r="AG142" i="2" s="1"/>
  <c r="AH142" i="2" s="1"/>
  <c r="AI142" i="2" s="1"/>
  <c r="AJ142" i="2" s="1"/>
  <c r="AK142" i="2" s="1"/>
  <c r="AL142" i="2" s="1"/>
  <c r="AM142" i="2" s="1"/>
  <c r="AN142" i="2" s="1"/>
  <c r="Z418" i="2"/>
  <c r="Z312" i="2"/>
  <c r="Z356" i="2"/>
  <c r="AW82" i="2"/>
  <c r="AY82" i="2"/>
  <c r="AZ82" i="2"/>
  <c r="AS82" i="2"/>
  <c r="AV82" i="2"/>
  <c r="BC82" i="2"/>
  <c r="AR82" i="2"/>
  <c r="AX82" i="2"/>
  <c r="AT82" i="2"/>
  <c r="AU82" i="2"/>
  <c r="BB82" i="2"/>
  <c r="BA82" i="2"/>
  <c r="AF120" i="2"/>
  <c r="AG120" i="2" s="1"/>
  <c r="AH120" i="2" s="1"/>
  <c r="AI120" i="2" s="1"/>
  <c r="AJ120" i="2" s="1"/>
  <c r="AK120" i="2" s="1"/>
  <c r="AL120" i="2" s="1"/>
  <c r="AM120" i="2" s="1"/>
  <c r="AN120" i="2" s="1"/>
  <c r="BD120" i="2"/>
  <c r="AF131" i="2"/>
  <c r="AG131" i="2" s="1"/>
  <c r="AH131" i="2" s="1"/>
  <c r="AI131" i="2" s="1"/>
  <c r="AJ131" i="2" s="1"/>
  <c r="AK131" i="2" s="1"/>
  <c r="AL131" i="2" s="1"/>
  <c r="AM131" i="2" s="1"/>
  <c r="AN131" i="2" s="1"/>
  <c r="BD131" i="2"/>
  <c r="AX111" i="2"/>
  <c r="AZ111" i="2"/>
  <c r="AT111" i="2"/>
  <c r="AU111" i="2"/>
  <c r="AW111" i="2"/>
  <c r="BC111" i="2"/>
  <c r="AR111" i="2"/>
  <c r="AY111" i="2"/>
  <c r="AV111" i="2"/>
  <c r="BA111" i="2"/>
  <c r="BB111" i="2"/>
  <c r="AS111" i="2"/>
  <c r="BD36" i="2"/>
  <c r="AF36" i="2"/>
  <c r="AG36" i="2" s="1"/>
  <c r="AH36" i="2" s="1"/>
  <c r="AI36" i="2" s="1"/>
  <c r="AJ36" i="2" s="1"/>
  <c r="AK36" i="2" s="1"/>
  <c r="AL36" i="2" s="1"/>
  <c r="AM36" i="2" s="1"/>
  <c r="AN36" i="2" s="1"/>
  <c r="BD95" i="2"/>
  <c r="AF95" i="2"/>
  <c r="AG95" i="2" s="1"/>
  <c r="AH95" i="2" s="1"/>
  <c r="AI95" i="2" s="1"/>
  <c r="AJ95" i="2" s="1"/>
  <c r="AK95" i="2" s="1"/>
  <c r="AL95" i="2" s="1"/>
  <c r="AM95" i="2" s="1"/>
  <c r="AN95" i="2" s="1"/>
  <c r="BD105" i="2"/>
  <c r="AF105" i="2"/>
  <c r="AG105" i="2" s="1"/>
  <c r="AH105" i="2" s="1"/>
  <c r="AI105" i="2" s="1"/>
  <c r="AJ105" i="2" s="1"/>
  <c r="AK105" i="2" s="1"/>
  <c r="AL105" i="2" s="1"/>
  <c r="AM105" i="2" s="1"/>
  <c r="AN105" i="2" s="1"/>
  <c r="AF97" i="2"/>
  <c r="AG97" i="2" s="1"/>
  <c r="AH97" i="2" s="1"/>
  <c r="AI97" i="2" s="1"/>
  <c r="AJ97" i="2" s="1"/>
  <c r="AK97" i="2" s="1"/>
  <c r="AL97" i="2" s="1"/>
  <c r="AM97" i="2" s="1"/>
  <c r="AN97" i="2" s="1"/>
  <c r="BD97" i="2"/>
  <c r="BD108" i="2"/>
  <c r="AF108" i="2"/>
  <c r="AG108" i="2" s="1"/>
  <c r="AH108" i="2" s="1"/>
  <c r="AI108" i="2" s="1"/>
  <c r="AJ108" i="2" s="1"/>
  <c r="AK108" i="2" s="1"/>
  <c r="AL108" i="2" s="1"/>
  <c r="AM108" i="2" s="1"/>
  <c r="AN108" i="2" s="1"/>
  <c r="AX76" i="2"/>
  <c r="BC76" i="2"/>
  <c r="BA76" i="2"/>
  <c r="AY76" i="2"/>
  <c r="AU76" i="2"/>
  <c r="AT76" i="2"/>
  <c r="BB76" i="2"/>
  <c r="AS76" i="2"/>
  <c r="AW76" i="2"/>
  <c r="AR76" i="2"/>
  <c r="AZ76" i="2"/>
  <c r="AV76" i="2"/>
  <c r="BC152" i="2"/>
  <c r="AS152" i="2"/>
  <c r="AX152" i="2"/>
  <c r="AT152" i="2"/>
  <c r="AZ152" i="2"/>
  <c r="AU152" i="2"/>
  <c r="AY152" i="2"/>
  <c r="AR152" i="2"/>
  <c r="BB152" i="2"/>
  <c r="AW152" i="2"/>
  <c r="BA152" i="2"/>
  <c r="AV152" i="2"/>
  <c r="M312" i="2"/>
  <c r="M356" i="2"/>
  <c r="M418" i="2"/>
  <c r="AF138" i="2"/>
  <c r="AG138" i="2" s="1"/>
  <c r="AH138" i="2" s="1"/>
  <c r="AI138" i="2" s="1"/>
  <c r="AJ138" i="2" s="1"/>
  <c r="AK138" i="2" s="1"/>
  <c r="AL138" i="2" s="1"/>
  <c r="AM138" i="2" s="1"/>
  <c r="AN138" i="2" s="1"/>
  <c r="BD138" i="2"/>
  <c r="BD145" i="2"/>
  <c r="AF145" i="2"/>
  <c r="AG145" i="2" s="1"/>
  <c r="AH145" i="2" s="1"/>
  <c r="AI145" i="2" s="1"/>
  <c r="AJ145" i="2" s="1"/>
  <c r="AK145" i="2" s="1"/>
  <c r="AL145" i="2" s="1"/>
  <c r="AM145" i="2" s="1"/>
  <c r="AN145" i="2" s="1"/>
  <c r="BD99" i="2"/>
  <c r="AF99" i="2"/>
  <c r="AG99" i="2" s="1"/>
  <c r="AH99" i="2" s="1"/>
  <c r="AI99" i="2" s="1"/>
  <c r="AJ99" i="2" s="1"/>
  <c r="AK99" i="2" s="1"/>
  <c r="AL99" i="2" s="1"/>
  <c r="AM99" i="2" s="1"/>
  <c r="AN99" i="2" s="1"/>
  <c r="BD66" i="2"/>
  <c r="AF66" i="2"/>
  <c r="AG66" i="2" s="1"/>
  <c r="AH66" i="2" s="1"/>
  <c r="AI66" i="2" s="1"/>
  <c r="AJ66" i="2" s="1"/>
  <c r="AK66" i="2" s="1"/>
  <c r="AL66" i="2" s="1"/>
  <c r="AM66" i="2" s="1"/>
  <c r="AN66" i="2" s="1"/>
  <c r="BD47" i="2"/>
  <c r="AF47" i="2"/>
  <c r="AG47" i="2" s="1"/>
  <c r="AH47" i="2" s="1"/>
  <c r="AI47" i="2" s="1"/>
  <c r="AJ47" i="2" s="1"/>
  <c r="AK47" i="2" s="1"/>
  <c r="AL47" i="2" s="1"/>
  <c r="AM47" i="2" s="1"/>
  <c r="AN47" i="2" s="1"/>
  <c r="AF59" i="2"/>
  <c r="AG59" i="2" s="1"/>
  <c r="AH59" i="2" s="1"/>
  <c r="AI59" i="2" s="1"/>
  <c r="AJ59" i="2" s="1"/>
  <c r="AK59" i="2" s="1"/>
  <c r="AL59" i="2" s="1"/>
  <c r="AM59" i="2" s="1"/>
  <c r="AN59" i="2" s="1"/>
  <c r="BD59" i="2"/>
  <c r="AF96" i="2"/>
  <c r="AG96" i="2" s="1"/>
  <c r="AH96" i="2" s="1"/>
  <c r="AI96" i="2" s="1"/>
  <c r="AJ96" i="2" s="1"/>
  <c r="AK96" i="2" s="1"/>
  <c r="AL96" i="2" s="1"/>
  <c r="AM96" i="2" s="1"/>
  <c r="AN96" i="2" s="1"/>
  <c r="BD96" i="2"/>
  <c r="AF118" i="2"/>
  <c r="AG118" i="2" s="1"/>
  <c r="AH118" i="2" s="1"/>
  <c r="AI118" i="2" s="1"/>
  <c r="AJ118" i="2" s="1"/>
  <c r="AK118" i="2" s="1"/>
  <c r="AL118" i="2" s="1"/>
  <c r="AM118" i="2" s="1"/>
  <c r="AN118" i="2" s="1"/>
  <c r="BD118" i="2"/>
  <c r="AZ77" i="2"/>
  <c r="AU77" i="2"/>
  <c r="AY77" i="2"/>
  <c r="BA77" i="2"/>
  <c r="AV77" i="2"/>
  <c r="AW77" i="2"/>
  <c r="AR77" i="2"/>
  <c r="AX77" i="2"/>
  <c r="AT77" i="2"/>
  <c r="AS77" i="2"/>
  <c r="BC77" i="2"/>
  <c r="BB77" i="2"/>
  <c r="BA75" i="2"/>
  <c r="AZ75" i="2"/>
  <c r="AT75" i="2"/>
  <c r="BB75" i="2"/>
  <c r="AY75" i="2"/>
  <c r="AW75" i="2"/>
  <c r="AS75" i="2"/>
  <c r="AU75" i="2"/>
  <c r="AV75" i="2"/>
  <c r="AX75" i="2"/>
  <c r="BC75" i="2"/>
  <c r="AR75" i="2"/>
  <c r="AF124" i="2"/>
  <c r="AG124" i="2" s="1"/>
  <c r="AH124" i="2" s="1"/>
  <c r="AI124" i="2" s="1"/>
  <c r="AJ124" i="2" s="1"/>
  <c r="AK124" i="2" s="1"/>
  <c r="AL124" i="2" s="1"/>
  <c r="AM124" i="2" s="1"/>
  <c r="AN124" i="2" s="1"/>
  <c r="BD124" i="2"/>
  <c r="BD30" i="2"/>
  <c r="AF30" i="2"/>
  <c r="AG30" i="2" s="1"/>
  <c r="AH30" i="2" s="1"/>
  <c r="AI30" i="2" s="1"/>
  <c r="AJ30" i="2" s="1"/>
  <c r="AK30" i="2" s="1"/>
  <c r="AL30" i="2" s="1"/>
  <c r="AM30" i="2" s="1"/>
  <c r="AN30" i="2" s="1"/>
  <c r="BD85" i="2"/>
  <c r="AF85" i="2"/>
  <c r="AG85" i="2" s="1"/>
  <c r="AH85" i="2" s="1"/>
  <c r="AI85" i="2" s="1"/>
  <c r="AJ85" i="2" s="1"/>
  <c r="AK85" i="2" s="1"/>
  <c r="AL85" i="2" s="1"/>
  <c r="AM85" i="2" s="1"/>
  <c r="AN85" i="2" s="1"/>
  <c r="BD55" i="2"/>
  <c r="AF55" i="2"/>
  <c r="AG55" i="2" s="1"/>
  <c r="AH55" i="2" s="1"/>
  <c r="AI55" i="2" s="1"/>
  <c r="AJ55" i="2" s="1"/>
  <c r="AK55" i="2" s="1"/>
  <c r="AL55" i="2" s="1"/>
  <c r="AM55" i="2" s="1"/>
  <c r="AN55" i="2" s="1"/>
  <c r="BD113" i="2"/>
  <c r="AF113" i="2"/>
  <c r="AG113" i="2" s="1"/>
  <c r="AH113" i="2" s="1"/>
  <c r="AI113" i="2" s="1"/>
  <c r="AJ113" i="2" s="1"/>
  <c r="AK113" i="2" s="1"/>
  <c r="AL113" i="2" s="1"/>
  <c r="AM113" i="2" s="1"/>
  <c r="AN113" i="2" s="1"/>
  <c r="BB98" i="2"/>
  <c r="BA98" i="2"/>
  <c r="AW98" i="2"/>
  <c r="AY98" i="2"/>
  <c r="AX98" i="2"/>
  <c r="AU98" i="2"/>
  <c r="AT98" i="2"/>
  <c r="BC98" i="2"/>
  <c r="AZ98" i="2"/>
  <c r="AS98" i="2"/>
  <c r="AV98" i="2"/>
  <c r="AR98" i="2"/>
  <c r="AF127" i="2"/>
  <c r="AG127" i="2" s="1"/>
  <c r="AH127" i="2" s="1"/>
  <c r="AI127" i="2" s="1"/>
  <c r="AJ127" i="2" s="1"/>
  <c r="AK127" i="2" s="1"/>
  <c r="AL127" i="2" s="1"/>
  <c r="AM127" i="2" s="1"/>
  <c r="AN127" i="2" s="1"/>
  <c r="BD127" i="2"/>
  <c r="BD137" i="2"/>
  <c r="AF137" i="2"/>
  <c r="AG137" i="2" s="1"/>
  <c r="AH137" i="2" s="1"/>
  <c r="AI137" i="2" s="1"/>
  <c r="AJ137" i="2" s="1"/>
  <c r="AK137" i="2" s="1"/>
  <c r="AL137" i="2" s="1"/>
  <c r="AM137" i="2" s="1"/>
  <c r="AN137" i="2" s="1"/>
  <c r="AF139" i="2"/>
  <c r="AG139" i="2" s="1"/>
  <c r="AH139" i="2" s="1"/>
  <c r="AI139" i="2" s="1"/>
  <c r="AJ139" i="2" s="1"/>
  <c r="AK139" i="2" s="1"/>
  <c r="AL139" i="2" s="1"/>
  <c r="AM139" i="2" s="1"/>
  <c r="AN139" i="2" s="1"/>
  <c r="BD139" i="2"/>
  <c r="BD150" i="2"/>
  <c r="AF150" i="2"/>
  <c r="AG150" i="2" s="1"/>
  <c r="AH150" i="2" s="1"/>
  <c r="AI150" i="2" s="1"/>
  <c r="AJ150" i="2" s="1"/>
  <c r="AK150" i="2" s="1"/>
  <c r="AL150" i="2" s="1"/>
  <c r="AM150" i="2" s="1"/>
  <c r="AN150" i="2" s="1"/>
  <c r="BD49" i="2"/>
  <c r="AF49" i="2"/>
  <c r="AG49" i="2" s="1"/>
  <c r="AH49" i="2" s="1"/>
  <c r="AI49" i="2" s="1"/>
  <c r="AJ49" i="2" s="1"/>
  <c r="AK49" i="2" s="1"/>
  <c r="AL49" i="2" s="1"/>
  <c r="AM49" i="2" s="1"/>
  <c r="AN49" i="2" s="1"/>
  <c r="BD125" i="2"/>
  <c r="AF125" i="2"/>
  <c r="AG125" i="2" s="1"/>
  <c r="AH125" i="2" s="1"/>
  <c r="AI125" i="2" s="1"/>
  <c r="AJ125" i="2" s="1"/>
  <c r="AK125" i="2" s="1"/>
  <c r="AL125" i="2" s="1"/>
  <c r="AM125" i="2" s="1"/>
  <c r="AN125" i="2" s="1"/>
  <c r="C15" i="12"/>
  <c r="E21" i="12"/>
  <c r="AD177" i="2" s="1"/>
  <c r="AG177" i="2" s="1"/>
  <c r="E127" i="12"/>
  <c r="D15" i="12"/>
  <c r="C127" i="12"/>
  <c r="E15" i="12"/>
  <c r="D127" i="12"/>
  <c r="M361" i="2"/>
  <c r="M318" i="2"/>
  <c r="M424" i="2"/>
  <c r="T194" i="2"/>
  <c r="Q244" i="2"/>
  <c r="AD262" i="2"/>
  <c r="AG212" i="2"/>
  <c r="J391" i="2"/>
  <c r="M180" i="2"/>
  <c r="J230" i="2"/>
  <c r="J433" i="2" s="1"/>
  <c r="T190" i="2"/>
  <c r="Q240" i="2"/>
  <c r="Q443" i="2" s="1"/>
  <c r="Q401" i="2"/>
  <c r="J406" i="2"/>
  <c r="M195" i="2"/>
  <c r="J245" i="2"/>
  <c r="J448" i="2" s="1"/>
  <c r="J395" i="2"/>
  <c r="M184" i="2"/>
  <c r="J234" i="2"/>
  <c r="J437" i="2" s="1"/>
  <c r="AD221" i="2"/>
  <c r="E114" i="12"/>
  <c r="Q248" i="2"/>
  <c r="T198" i="2"/>
  <c r="AD400" i="2"/>
  <c r="AD239" i="2"/>
  <c r="AD442" i="2" s="1"/>
  <c r="AG189" i="2"/>
  <c r="AD234" i="2"/>
  <c r="AD437" i="2" s="1"/>
  <c r="AG184" i="2"/>
  <c r="AD395" i="2"/>
  <c r="J261" i="2"/>
  <c r="M211" i="2"/>
  <c r="Q415" i="2"/>
  <c r="Q254" i="2"/>
  <c r="Q457" i="2" s="1"/>
  <c r="T204" i="2"/>
  <c r="T209" i="2"/>
  <c r="Q420" i="2"/>
  <c r="Q259" i="2"/>
  <c r="Q462" i="2" s="1"/>
  <c r="J402" i="2"/>
  <c r="M191" i="2"/>
  <c r="J241" i="2"/>
  <c r="J444" i="2" s="1"/>
  <c r="AD199" i="2"/>
  <c r="E71" i="12"/>
  <c r="AG179" i="2"/>
  <c r="AD229" i="2"/>
  <c r="AD391" i="2"/>
  <c r="AG180" i="2"/>
  <c r="AD230" i="2"/>
  <c r="AD433" i="2" s="1"/>
  <c r="J403" i="2"/>
  <c r="M192" i="2"/>
  <c r="J242" i="2"/>
  <c r="J445" i="2" s="1"/>
  <c r="Q263" i="2"/>
  <c r="C60" i="10"/>
  <c r="AD237" i="2"/>
  <c r="AD440" i="2" s="1"/>
  <c r="AD398" i="2"/>
  <c r="AG187" i="2"/>
  <c r="J400" i="2"/>
  <c r="M189" i="2"/>
  <c r="J239" i="2"/>
  <c r="J442" i="2" s="1"/>
  <c r="Q247" i="2"/>
  <c r="Q450" i="2" s="1"/>
  <c r="Q408" i="2"/>
  <c r="T197" i="2"/>
  <c r="J176" i="2"/>
  <c r="C28" i="12"/>
  <c r="J181" i="2" s="1"/>
  <c r="AD176" i="2"/>
  <c r="T189" i="2"/>
  <c r="Q400" i="2"/>
  <c r="Q239" i="2"/>
  <c r="Q442" i="2" s="1"/>
  <c r="AD255" i="2"/>
  <c r="AD458" i="2" s="1"/>
  <c r="AD416" i="2"/>
  <c r="AG205" i="2"/>
  <c r="C131" i="12"/>
  <c r="AG202" i="2"/>
  <c r="AD413" i="2"/>
  <c r="AD252" i="2"/>
  <c r="AD455" i="2" s="1"/>
  <c r="AD261" i="2"/>
  <c r="AG211" i="2"/>
  <c r="AG206" i="2"/>
  <c r="AD256" i="2"/>
  <c r="AD414" i="2"/>
  <c r="AD253" i="2"/>
  <c r="AD456" i="2" s="1"/>
  <c r="AG203" i="2"/>
  <c r="Q398" i="2"/>
  <c r="T187" i="2"/>
  <c r="Q237" i="2"/>
  <c r="Q440" i="2" s="1"/>
  <c r="AD412" i="2"/>
  <c r="AG201" i="2"/>
  <c r="AD251" i="2"/>
  <c r="AD454" i="2" s="1"/>
  <c r="AD259" i="2"/>
  <c r="AD462" i="2" s="1"/>
  <c r="AD420" i="2"/>
  <c r="AG209" i="2"/>
  <c r="AD227" i="2"/>
  <c r="T212" i="2"/>
  <c r="Q262" i="2"/>
  <c r="D28" i="12"/>
  <c r="Q181" i="2" s="1"/>
  <c r="T185" i="2"/>
  <c r="Q235" i="2"/>
  <c r="M221" i="2"/>
  <c r="C114" i="12"/>
  <c r="J221" i="2"/>
  <c r="AD396" i="2"/>
  <c r="AD235" i="2"/>
  <c r="AD438" i="2" s="1"/>
  <c r="AG185" i="2"/>
  <c r="Q404" i="2"/>
  <c r="T193" i="2"/>
  <c r="Q243" i="2"/>
  <c r="Q446" i="2" s="1"/>
  <c r="AG193" i="2"/>
  <c r="AD243" i="2"/>
  <c r="J401" i="2"/>
  <c r="M190" i="2"/>
  <c r="J240" i="2"/>
  <c r="J443" i="2" s="1"/>
  <c r="D21" i="12"/>
  <c r="Q177" i="2" s="1"/>
  <c r="AD248" i="2"/>
  <c r="AG198" i="2"/>
  <c r="AG195" i="2"/>
  <c r="AD245" i="2"/>
  <c r="AD448" i="2" s="1"/>
  <c r="AD406" i="2"/>
  <c r="D59" i="9"/>
  <c r="AD213" i="2"/>
  <c r="E89" i="12"/>
  <c r="E91" i="12" s="1"/>
  <c r="J417" i="2"/>
  <c r="M206" i="2"/>
  <c r="J256" i="2"/>
  <c r="J459" i="2" s="1"/>
  <c r="J208" i="2"/>
  <c r="B176" i="11"/>
  <c r="B60" i="10"/>
  <c r="J263" i="2"/>
  <c r="C21" i="12"/>
  <c r="J177" i="2" s="1"/>
  <c r="T195" i="2"/>
  <c r="Q406" i="2"/>
  <c r="Q245" i="2"/>
  <c r="Q448" i="2" s="1"/>
  <c r="B59" i="9"/>
  <c r="C89" i="12"/>
  <c r="C91" i="12" s="1"/>
  <c r="M197" i="2"/>
  <c r="J408" i="2"/>
  <c r="J247" i="2"/>
  <c r="J450" i="2" s="1"/>
  <c r="M209" i="2"/>
  <c r="J420" i="2"/>
  <c r="J259" i="2"/>
  <c r="J462" i="2" s="1"/>
  <c r="AG178" i="2"/>
  <c r="AD389" i="2"/>
  <c r="AD228" i="2"/>
  <c r="AD431" i="2" s="1"/>
  <c r="J404" i="2"/>
  <c r="M193" i="2"/>
  <c r="J243" i="2"/>
  <c r="J446" i="2" s="1"/>
  <c r="J407" i="2"/>
  <c r="J246" i="2"/>
  <c r="J449" i="2" s="1"/>
  <c r="M196" i="2"/>
  <c r="AD208" i="2"/>
  <c r="D176" i="11"/>
  <c r="E131" i="12"/>
  <c r="AD394" i="2"/>
  <c r="AD233" i="2"/>
  <c r="AD436" i="2" s="1"/>
  <c r="AG183" i="2"/>
  <c r="J213" i="2"/>
  <c r="AG194" i="2"/>
  <c r="AD244" i="2"/>
  <c r="Q414" i="2"/>
  <c r="Q253" i="2"/>
  <c r="Q456" i="2" s="1"/>
  <c r="T203" i="2"/>
  <c r="AG196" i="2"/>
  <c r="AD246" i="2"/>
  <c r="Q238" i="2"/>
  <c r="Q441" i="2" s="1"/>
  <c r="Q399" i="2"/>
  <c r="T188" i="2"/>
  <c r="J405" i="2"/>
  <c r="M194" i="2"/>
  <c r="J244" i="2"/>
  <c r="J447" i="2" s="1"/>
  <c r="J411" i="2"/>
  <c r="M200" i="2"/>
  <c r="J250" i="2"/>
  <c r="J453" i="2" s="1"/>
  <c r="T182" i="2"/>
  <c r="Q232" i="2"/>
  <c r="D114" i="12"/>
  <c r="Q221" i="2"/>
  <c r="J415" i="2"/>
  <c r="M204" i="2"/>
  <c r="J254" i="2"/>
  <c r="J457" i="2" s="1"/>
  <c r="J398" i="2"/>
  <c r="J237" i="2"/>
  <c r="J440" i="2" s="1"/>
  <c r="M187" i="2"/>
  <c r="AG188" i="2"/>
  <c r="AD238" i="2"/>
  <c r="J233" i="2"/>
  <c r="J436" i="2" s="1"/>
  <c r="J394" i="2"/>
  <c r="M183" i="2"/>
  <c r="AG186" i="2"/>
  <c r="AD236" i="2"/>
  <c r="J414" i="2"/>
  <c r="J253" i="2"/>
  <c r="J456" i="2" s="1"/>
  <c r="M203" i="2"/>
  <c r="M210" i="2"/>
  <c r="J260" i="2"/>
  <c r="J390" i="2"/>
  <c r="M179" i="2"/>
  <c r="J229" i="2"/>
  <c r="J432" i="2" s="1"/>
  <c r="Q390" i="2"/>
  <c r="T179" i="2"/>
  <c r="Q229" i="2"/>
  <c r="Q432" i="2" s="1"/>
  <c r="J393" i="2"/>
  <c r="J232" i="2"/>
  <c r="J435" i="2" s="1"/>
  <c r="M182" i="2"/>
  <c r="Q246" i="2"/>
  <c r="Q449" i="2" s="1"/>
  <c r="Q407" i="2"/>
  <c r="T196" i="2"/>
  <c r="J389" i="2"/>
  <c r="J228" i="2"/>
  <c r="J431" i="2" s="1"/>
  <c r="M178" i="2"/>
  <c r="AG182" i="2"/>
  <c r="AD232" i="2"/>
  <c r="AD435" i="2" s="1"/>
  <c r="AD393" i="2"/>
  <c r="J399" i="2"/>
  <c r="J238" i="2"/>
  <c r="J441" i="2" s="1"/>
  <c r="M188" i="2"/>
  <c r="J397" i="2"/>
  <c r="J236" i="2"/>
  <c r="J439" i="2" s="1"/>
  <c r="M186" i="2"/>
  <c r="AD254" i="2"/>
  <c r="AD457" i="2" s="1"/>
  <c r="AD415" i="2"/>
  <c r="AG204" i="2"/>
  <c r="T184" i="2"/>
  <c r="Q234" i="2"/>
  <c r="Q403" i="2"/>
  <c r="T192" i="2"/>
  <c r="Q242" i="2"/>
  <c r="Q445" i="2" s="1"/>
  <c r="AD260" i="2"/>
  <c r="AG210" i="2"/>
  <c r="AD411" i="2"/>
  <c r="AD250" i="2"/>
  <c r="AD453" i="2" s="1"/>
  <c r="AG200" i="2"/>
  <c r="T178" i="2"/>
  <c r="Q228" i="2"/>
  <c r="Q261" i="2"/>
  <c r="T211" i="2"/>
  <c r="M198" i="2"/>
  <c r="J248" i="2"/>
  <c r="T191" i="2"/>
  <c r="Q241" i="2"/>
  <c r="Q412" i="2"/>
  <c r="T201" i="2"/>
  <c r="Q251" i="2"/>
  <c r="Q454" i="2" s="1"/>
  <c r="AG191" i="2"/>
  <c r="AD241" i="2"/>
  <c r="Q250" i="2"/>
  <c r="Q453" i="2" s="1"/>
  <c r="Q411" i="2"/>
  <c r="T200" i="2"/>
  <c r="T210" i="2"/>
  <c r="Q260" i="2"/>
  <c r="Q176" i="2"/>
  <c r="T205" i="2"/>
  <c r="Q416" i="2"/>
  <c r="Q255" i="2"/>
  <c r="Q458" i="2" s="1"/>
  <c r="T183" i="2"/>
  <c r="Q233" i="2"/>
  <c r="Q436" i="2" s="1"/>
  <c r="Q394" i="2"/>
  <c r="AD247" i="2"/>
  <c r="AD450" i="2" s="1"/>
  <c r="AD408" i="2"/>
  <c r="AG197" i="2"/>
  <c r="D71" i="12"/>
  <c r="Q199" i="2"/>
  <c r="T180" i="2"/>
  <c r="Q391" i="2"/>
  <c r="Q230" i="2"/>
  <c r="Q433" i="2" s="1"/>
  <c r="T186" i="2"/>
  <c r="Q397" i="2"/>
  <c r="Q236" i="2"/>
  <c r="Q439" i="2" s="1"/>
  <c r="AD263" i="2"/>
  <c r="D60" i="10"/>
  <c r="D131" i="12"/>
  <c r="Q256" i="2"/>
  <c r="Q459" i="2" s="1"/>
  <c r="Q417" i="2"/>
  <c r="T206" i="2"/>
  <c r="Q413" i="2"/>
  <c r="T202" i="2"/>
  <c r="Q252" i="2"/>
  <c r="Q455" i="2" s="1"/>
  <c r="AD403" i="2"/>
  <c r="AD242" i="2"/>
  <c r="AD445" i="2" s="1"/>
  <c r="AG192" i="2"/>
  <c r="AD240" i="2"/>
  <c r="AG190" i="2"/>
  <c r="E28" i="12"/>
  <c r="AD181" i="2" s="1"/>
  <c r="J412" i="2"/>
  <c r="M201" i="2"/>
  <c r="J251" i="2"/>
  <c r="J454" i="2" s="1"/>
  <c r="C71" i="12"/>
  <c r="J199" i="2"/>
  <c r="C176" i="11"/>
  <c r="Q208" i="2"/>
  <c r="J396" i="2"/>
  <c r="J235" i="2"/>
  <c r="J438" i="2" s="1"/>
  <c r="M185" i="2"/>
  <c r="J416" i="2"/>
  <c r="J255" i="2"/>
  <c r="J458" i="2" s="1"/>
  <c r="M205" i="2"/>
  <c r="J262" i="2"/>
  <c r="M212" i="2"/>
  <c r="J413" i="2"/>
  <c r="M202" i="2"/>
  <c r="J252" i="2"/>
  <c r="J455" i="2" s="1"/>
  <c r="D89" i="12"/>
  <c r="D91" i="12" s="1"/>
  <c r="C59" i="9"/>
  <c r="Q213" i="2"/>
  <c r="AD432" i="2" l="1"/>
  <c r="G425" i="2"/>
  <c r="J425" i="2" s="1"/>
  <c r="W367" i="2"/>
  <c r="AF333" i="2"/>
  <c r="AE333" i="2"/>
  <c r="AB333" i="2"/>
  <c r="AK333" i="2"/>
  <c r="AL333" i="2"/>
  <c r="S338" i="2"/>
  <c r="AC333" i="2"/>
  <c r="V332" i="2"/>
  <c r="J451" i="2"/>
  <c r="R332" i="2"/>
  <c r="U332" i="2"/>
  <c r="X332" i="2"/>
  <c r="P332" i="2"/>
  <c r="R334" i="2"/>
  <c r="Y332" i="2"/>
  <c r="Q435" i="2"/>
  <c r="S332" i="2"/>
  <c r="D191" i="11"/>
  <c r="AD430" i="2"/>
  <c r="BA149" i="2"/>
  <c r="K362" i="2"/>
  <c r="C190" i="11"/>
  <c r="E14" i="15" s="1"/>
  <c r="R338" i="2"/>
  <c r="Q367" i="2"/>
  <c r="R367" i="2"/>
  <c r="S334" i="2"/>
  <c r="X367" i="2"/>
  <c r="V334" i="2"/>
  <c r="U367" i="2"/>
  <c r="T367" i="2"/>
  <c r="Y334" i="2"/>
  <c r="P367" i="2"/>
  <c r="Z367" i="2"/>
  <c r="H123" i="2"/>
  <c r="I123" i="2" s="1"/>
  <c r="Y338" i="2"/>
  <c r="AD451" i="2"/>
  <c r="V338" i="2"/>
  <c r="P338" i="2"/>
  <c r="O367" i="2"/>
  <c r="X338" i="2"/>
  <c r="U338" i="2"/>
  <c r="L362" i="2"/>
  <c r="P334" i="2"/>
  <c r="X334" i="2"/>
  <c r="M362" i="2"/>
  <c r="I362" i="2"/>
  <c r="I135" i="2" s="1"/>
  <c r="AD324" i="2"/>
  <c r="AD323" i="2" s="1"/>
  <c r="AD327" i="2" s="1"/>
  <c r="AD444" i="2"/>
  <c r="Q447" i="2"/>
  <c r="AD441" i="2"/>
  <c r="AD459" i="2"/>
  <c r="O334" i="2"/>
  <c r="J362" i="2"/>
  <c r="AD449" i="2"/>
  <c r="AD446" i="2"/>
  <c r="V349" i="2"/>
  <c r="I106" i="2"/>
  <c r="O91" i="2"/>
  <c r="P91" i="2" s="1"/>
  <c r="Q91" i="2" s="1"/>
  <c r="R91" i="2" s="1"/>
  <c r="S91" i="2" s="1"/>
  <c r="T91" i="2" s="1"/>
  <c r="U91" i="2" s="1"/>
  <c r="V91" i="2" s="1"/>
  <c r="W91" i="2" s="1"/>
  <c r="X91" i="2" s="1"/>
  <c r="Y91" i="2" s="1"/>
  <c r="Z91" i="2" s="1"/>
  <c r="AA91" i="2" s="1"/>
  <c r="AB91" i="2" s="1"/>
  <c r="AC91" i="2" s="1"/>
  <c r="AD91" i="2" s="1"/>
  <c r="AE91" i="2" s="1"/>
  <c r="I71" i="2"/>
  <c r="O349" i="2"/>
  <c r="U304" i="2"/>
  <c r="O304" i="2"/>
  <c r="AA499" i="2"/>
  <c r="Q409" i="2" s="1"/>
  <c r="AA353" i="2"/>
  <c r="Q353" i="2" s="1"/>
  <c r="R304" i="2"/>
  <c r="P304" i="2"/>
  <c r="V304" i="2"/>
  <c r="X304" i="2"/>
  <c r="S304" i="2"/>
  <c r="Y304" i="2"/>
  <c r="AA543" i="2"/>
  <c r="Q451" i="2" s="1"/>
  <c r="U349" i="2"/>
  <c r="X349" i="2"/>
  <c r="M37" i="2"/>
  <c r="N37" i="2" s="1"/>
  <c r="O37" i="2" s="1"/>
  <c r="P37" i="2" s="1"/>
  <c r="Q37" i="2" s="1"/>
  <c r="R37" i="2" s="1"/>
  <c r="AQ37" i="2" s="1"/>
  <c r="K122" i="2"/>
  <c r="L122" i="2" s="1"/>
  <c r="M122" i="2" s="1"/>
  <c r="N122" i="2" s="1"/>
  <c r="Y367" i="2"/>
  <c r="S367" i="2"/>
  <c r="AQ164" i="2"/>
  <c r="S164" i="2"/>
  <c r="T164" i="2" s="1"/>
  <c r="U164" i="2" s="1"/>
  <c r="V164" i="2" s="1"/>
  <c r="W164" i="2" s="1"/>
  <c r="X164" i="2" s="1"/>
  <c r="Y164" i="2" s="1"/>
  <c r="Z164" i="2" s="1"/>
  <c r="AA164" i="2" s="1"/>
  <c r="AB164" i="2" s="1"/>
  <c r="AC164" i="2" s="1"/>
  <c r="AD164" i="2" s="1"/>
  <c r="AE164" i="2" s="1"/>
  <c r="BD164" i="2" s="1"/>
  <c r="AD447" i="2"/>
  <c r="S349" i="2"/>
  <c r="R349" i="2"/>
  <c r="AJ324" i="2"/>
  <c r="AD443" i="2"/>
  <c r="Y349" i="2"/>
  <c r="I128" i="2"/>
  <c r="Q323" i="2"/>
  <c r="Q327" i="2" s="1"/>
  <c r="Q444" i="2"/>
  <c r="I133" i="2"/>
  <c r="AL335" i="2"/>
  <c r="AF335" i="2"/>
  <c r="AE335" i="2"/>
  <c r="AK335" i="2"/>
  <c r="AH335" i="2"/>
  <c r="AB335" i="2"/>
  <c r="AC335" i="2"/>
  <c r="AI335" i="2"/>
  <c r="AC348" i="2"/>
  <c r="AL348" i="2"/>
  <c r="AE348" i="2"/>
  <c r="AB348" i="2"/>
  <c r="AH348" i="2"/>
  <c r="AI348" i="2"/>
  <c r="AK348" i="2"/>
  <c r="AF348" i="2"/>
  <c r="AF346" i="2"/>
  <c r="AE346" i="2"/>
  <c r="AK346" i="2"/>
  <c r="AH346" i="2"/>
  <c r="AB346" i="2"/>
  <c r="AC346" i="2"/>
  <c r="AL346" i="2"/>
  <c r="AI346" i="2"/>
  <c r="AA515" i="2"/>
  <c r="Q319" i="2"/>
  <c r="R319" i="2"/>
  <c r="Y319" i="2"/>
  <c r="S319" i="2"/>
  <c r="AA362" i="2"/>
  <c r="T319" i="2"/>
  <c r="X319" i="2"/>
  <c r="P319" i="2"/>
  <c r="Z319" i="2"/>
  <c r="W319" i="2"/>
  <c r="O319" i="2"/>
  <c r="U319" i="2"/>
  <c r="V319" i="2"/>
  <c r="AH353" i="2"/>
  <c r="AB353" i="2"/>
  <c r="AE353" i="2"/>
  <c r="AL353" i="2"/>
  <c r="AI353" i="2"/>
  <c r="AC353" i="2"/>
  <c r="AK353" i="2"/>
  <c r="AF353" i="2"/>
  <c r="S366" i="2"/>
  <c r="S365" i="2" s="1"/>
  <c r="S369" i="2" s="1"/>
  <c r="R366" i="2"/>
  <c r="R365" i="2" s="1"/>
  <c r="R369" i="2" s="1"/>
  <c r="P366" i="2"/>
  <c r="P365" i="2" s="1"/>
  <c r="P369" i="2" s="1"/>
  <c r="U366" i="2"/>
  <c r="U365" i="2" s="1"/>
  <c r="U369" i="2" s="1"/>
  <c r="V366" i="2"/>
  <c r="V365" i="2" s="1"/>
  <c r="V369" i="2" s="1"/>
  <c r="X366" i="2"/>
  <c r="X365" i="2" s="1"/>
  <c r="X369" i="2" s="1"/>
  <c r="Y366" i="2"/>
  <c r="Y365" i="2" s="1"/>
  <c r="Y369" i="2" s="1"/>
  <c r="O366" i="2"/>
  <c r="O365" i="2" s="1"/>
  <c r="O369" i="2" s="1"/>
  <c r="E27" i="14"/>
  <c r="E28" i="14" s="1"/>
  <c r="E29" i="14" s="1"/>
  <c r="E49" i="14"/>
  <c r="E5" i="15"/>
  <c r="E13" i="15"/>
  <c r="Q437" i="2"/>
  <c r="I28" i="2"/>
  <c r="D21" i="14"/>
  <c r="O346" i="2"/>
  <c r="R346" i="2"/>
  <c r="P346" i="2"/>
  <c r="X346" i="2"/>
  <c r="S346" i="2"/>
  <c r="U346" i="2"/>
  <c r="Y346" i="2"/>
  <c r="V346" i="2"/>
  <c r="D27" i="14"/>
  <c r="D28" i="14" s="1"/>
  <c r="D49" i="14"/>
  <c r="AB349" i="2"/>
  <c r="AF349" i="2"/>
  <c r="AK349" i="2"/>
  <c r="AH349" i="2"/>
  <c r="AI349" i="2"/>
  <c r="AC349" i="2"/>
  <c r="AE349" i="2"/>
  <c r="AL349" i="2"/>
  <c r="C66" i="10"/>
  <c r="C69" i="10"/>
  <c r="AI345" i="2"/>
  <c r="AL345" i="2"/>
  <c r="AC345" i="2"/>
  <c r="AK345" i="2"/>
  <c r="AE345" i="2"/>
  <c r="AH345" i="2"/>
  <c r="AB345" i="2"/>
  <c r="AF345" i="2"/>
  <c r="AF342" i="2"/>
  <c r="AB342" i="2"/>
  <c r="AI342" i="2"/>
  <c r="AE342" i="2"/>
  <c r="AC342" i="2"/>
  <c r="AK342" i="2"/>
  <c r="AL342" i="2"/>
  <c r="AH342" i="2"/>
  <c r="C49" i="14"/>
  <c r="C54" i="14" s="1"/>
  <c r="C27" i="14"/>
  <c r="Q431" i="2"/>
  <c r="O53" i="2"/>
  <c r="P53" i="2" s="1"/>
  <c r="Q53" i="2" s="1"/>
  <c r="R53" i="2" s="1"/>
  <c r="S53" i="2" s="1"/>
  <c r="BE13" i="2"/>
  <c r="AD439" i="2"/>
  <c r="Q438" i="2"/>
  <c r="AM273" i="2"/>
  <c r="R276" i="2"/>
  <c r="R277" i="2" s="1"/>
  <c r="H54" i="18"/>
  <c r="M162" i="2"/>
  <c r="N162" i="2" s="1"/>
  <c r="O162" i="2" s="1"/>
  <c r="P162" i="2" s="1"/>
  <c r="Q162" i="2" s="1"/>
  <c r="R162" i="2" s="1"/>
  <c r="Y341" i="2"/>
  <c r="R341" i="2"/>
  <c r="U341" i="2"/>
  <c r="V341" i="2"/>
  <c r="P341" i="2"/>
  <c r="X341" i="2"/>
  <c r="O341" i="2"/>
  <c r="S341" i="2"/>
  <c r="H13" i="15"/>
  <c r="H5" i="15"/>
  <c r="H14" i="15"/>
  <c r="H8" i="15"/>
  <c r="H7" i="15"/>
  <c r="AK351" i="2"/>
  <c r="AH351" i="2"/>
  <c r="AI351" i="2"/>
  <c r="AB351" i="2"/>
  <c r="AL351" i="2"/>
  <c r="AE351" i="2"/>
  <c r="AF351" i="2"/>
  <c r="AC351" i="2"/>
  <c r="B190" i="11"/>
  <c r="B187" i="11"/>
  <c r="B191" i="11" s="1"/>
  <c r="K353" i="2"/>
  <c r="H353" i="2"/>
  <c r="H104" i="2" s="1"/>
  <c r="L353" i="2"/>
  <c r="I353" i="2"/>
  <c r="D66" i="10"/>
  <c r="D69" i="10"/>
  <c r="AB324" i="2"/>
  <c r="AB323" i="2" s="1"/>
  <c r="AK324" i="2"/>
  <c r="AK323" i="2" s="1"/>
  <c r="AK327" i="2" s="1"/>
  <c r="AI324" i="2"/>
  <c r="AI323" i="2" s="1"/>
  <c r="AI327" i="2" s="1"/>
  <c r="AL324" i="2"/>
  <c r="AL323" i="2" s="1"/>
  <c r="AL327" i="2" s="1"/>
  <c r="AE324" i="2"/>
  <c r="AE323" i="2" s="1"/>
  <c r="AE327" i="2" s="1"/>
  <c r="AH324" i="2"/>
  <c r="AH323" i="2" s="1"/>
  <c r="AH327" i="2" s="1"/>
  <c r="AN366" i="2"/>
  <c r="AJ366" i="2" s="1"/>
  <c r="AF324" i="2"/>
  <c r="AF323" i="2" s="1"/>
  <c r="AF327" i="2" s="1"/>
  <c r="AC324" i="2"/>
  <c r="AC323" i="2" s="1"/>
  <c r="AL22" i="18"/>
  <c r="AL36" i="18"/>
  <c r="AU149" i="2"/>
  <c r="BB149" i="2"/>
  <c r="BE83" i="2"/>
  <c r="AY61" i="2"/>
  <c r="AX126" i="2"/>
  <c r="AX149" i="2"/>
  <c r="AT149" i="2"/>
  <c r="AS149" i="2"/>
  <c r="AV149" i="2"/>
  <c r="AY149" i="2"/>
  <c r="AR149" i="2"/>
  <c r="AZ149" i="2"/>
  <c r="AW149" i="2"/>
  <c r="AZ126" i="2"/>
  <c r="AV151" i="2"/>
  <c r="BC126" i="2"/>
  <c r="BC151" i="2"/>
  <c r="AY151" i="2"/>
  <c r="AW151" i="2"/>
  <c r="BA126" i="2"/>
  <c r="AW126" i="2"/>
  <c r="AT126" i="2"/>
  <c r="AS151" i="2"/>
  <c r="AX151" i="2"/>
  <c r="AV126" i="2"/>
  <c r="AS126" i="2"/>
  <c r="BB126" i="2"/>
  <c r="AZ151" i="2"/>
  <c r="BA151" i="2"/>
  <c r="AT151" i="2"/>
  <c r="AR126" i="2"/>
  <c r="AY126" i="2"/>
  <c r="AU151" i="2"/>
  <c r="BB151" i="2"/>
  <c r="BB51" i="2"/>
  <c r="AT61" i="2"/>
  <c r="AT69" i="2"/>
  <c r="BB61" i="2"/>
  <c r="AX112" i="2"/>
  <c r="AU112" i="2"/>
  <c r="T272" i="2"/>
  <c r="Z36" i="18"/>
  <c r="AX61" i="2"/>
  <c r="AV61" i="2"/>
  <c r="BA61" i="2"/>
  <c r="AZ61" i="2"/>
  <c r="AS61" i="2"/>
  <c r="AR61" i="2"/>
  <c r="BC61" i="2"/>
  <c r="AW61" i="2"/>
  <c r="AU92" i="2"/>
  <c r="BC112" i="2"/>
  <c r="BB112" i="2"/>
  <c r="AT112" i="2"/>
  <c r="AW112" i="2"/>
  <c r="AS112" i="2"/>
  <c r="AR112" i="2"/>
  <c r="AZ112" i="2"/>
  <c r="AV112" i="2"/>
  <c r="AY112" i="2"/>
  <c r="AV69" i="2"/>
  <c r="AS69" i="2"/>
  <c r="AR69" i="2"/>
  <c r="AZ69" i="2"/>
  <c r="BA69" i="2"/>
  <c r="AZ51" i="2"/>
  <c r="AZ92" i="2"/>
  <c r="AY51" i="2"/>
  <c r="AU69" i="2"/>
  <c r="AX69" i="2"/>
  <c r="AY69" i="2"/>
  <c r="AS92" i="2"/>
  <c r="BA51" i="2"/>
  <c r="BB69" i="2"/>
  <c r="AW69" i="2"/>
  <c r="AU39" i="2"/>
  <c r="BE84" i="2"/>
  <c r="AZ39" i="2"/>
  <c r="AT39" i="2"/>
  <c r="BA92" i="2"/>
  <c r="BE94" i="2"/>
  <c r="BB92" i="2"/>
  <c r="AY92" i="2"/>
  <c r="BC92" i="2"/>
  <c r="J365" i="2"/>
  <c r="J323" i="2"/>
  <c r="AR39" i="2"/>
  <c r="BB39" i="2"/>
  <c r="AY39" i="2"/>
  <c r="BC39" i="2"/>
  <c r="AV39" i="2"/>
  <c r="AX39" i="2"/>
  <c r="AS39" i="2"/>
  <c r="AW39" i="2"/>
  <c r="AT92" i="2"/>
  <c r="AR92" i="2"/>
  <c r="BE41" i="2"/>
  <c r="AX92" i="2"/>
  <c r="AV92" i="2"/>
  <c r="AX51" i="2"/>
  <c r="AW51" i="2"/>
  <c r="T222" i="2"/>
  <c r="T59" i="18"/>
  <c r="AM272" i="2"/>
  <c r="AM274" i="2" s="1"/>
  <c r="AL23" i="18"/>
  <c r="AL45" i="18"/>
  <c r="AL53" i="18" s="1"/>
  <c r="AI59" i="18"/>
  <c r="AJ222" i="2"/>
  <c r="AE224" i="2"/>
  <c r="AE276" i="2" s="1"/>
  <c r="AE277" i="2" s="1"/>
  <c r="BE62" i="2"/>
  <c r="BC40" i="2"/>
  <c r="AZ40" i="2"/>
  <c r="BB40" i="2"/>
  <c r="BA40" i="2"/>
  <c r="AW40" i="2"/>
  <c r="AR40" i="2"/>
  <c r="AY40" i="2"/>
  <c r="AS40" i="2"/>
  <c r="AU40" i="2"/>
  <c r="AT40" i="2"/>
  <c r="AV40" i="2"/>
  <c r="AX40" i="2"/>
  <c r="T368" i="2"/>
  <c r="T45" i="18"/>
  <c r="T53" i="18" s="1"/>
  <c r="T23" i="18"/>
  <c r="T24" i="18" s="1"/>
  <c r="T271" i="2"/>
  <c r="T274" i="2" s="1"/>
  <c r="T326" i="2"/>
  <c r="AG222" i="2"/>
  <c r="AG323" i="2" s="1"/>
  <c r="AG327" i="2" s="1"/>
  <c r="AF59" i="18"/>
  <c r="T324" i="2"/>
  <c r="T366" i="2"/>
  <c r="W267" i="2"/>
  <c r="W57" i="18"/>
  <c r="W56" i="18" s="1"/>
  <c r="Z58" i="18"/>
  <c r="Z60" i="18" s="1"/>
  <c r="AL57" i="18"/>
  <c r="AL56" i="18" s="1"/>
  <c r="AM267" i="2"/>
  <c r="AG272" i="2"/>
  <c r="AG274" i="2" s="1"/>
  <c r="AF23" i="18"/>
  <c r="AF24" i="18" s="1"/>
  <c r="AF45" i="18"/>
  <c r="AF53" i="18" s="1"/>
  <c r="BE74" i="2"/>
  <c r="W31" i="18"/>
  <c r="Z29" i="18"/>
  <c r="Z31" i="18" s="1"/>
  <c r="Q365" i="2"/>
  <c r="Q369" i="2" s="1"/>
  <c r="AD340" i="2"/>
  <c r="J340" i="2"/>
  <c r="J350" i="2"/>
  <c r="J286" i="2"/>
  <c r="AU51" i="2"/>
  <c r="BC51" i="2"/>
  <c r="AR51" i="2"/>
  <c r="BE114" i="2"/>
  <c r="BE46" i="2"/>
  <c r="J336" i="2"/>
  <c r="M109" i="2"/>
  <c r="N109" i="2" s="1"/>
  <c r="O109" i="2" s="1"/>
  <c r="P109" i="2" s="1"/>
  <c r="Q109" i="2" s="1"/>
  <c r="R109" i="2" s="1"/>
  <c r="AQ109" i="2" s="1"/>
  <c r="BE78" i="2"/>
  <c r="K159" i="2"/>
  <c r="J20" i="2"/>
  <c r="Q308" i="2"/>
  <c r="AD300" i="2"/>
  <c r="AD304" i="2"/>
  <c r="Q299" i="2"/>
  <c r="AS51" i="2"/>
  <c r="AV51" i="2"/>
  <c r="BE147" i="2"/>
  <c r="BE93" i="2"/>
  <c r="BE44" i="2"/>
  <c r="AD425" i="2"/>
  <c r="AG425" i="2"/>
  <c r="AJ425" i="2"/>
  <c r="AM425" i="2"/>
  <c r="BE134" i="2"/>
  <c r="BE60" i="2"/>
  <c r="AK362" i="2"/>
  <c r="AI362" i="2"/>
  <c r="AF362" i="2"/>
  <c r="AH362" i="2"/>
  <c r="AJ362" i="2"/>
  <c r="AB362" i="2"/>
  <c r="AM362" i="2"/>
  <c r="AE362" i="2"/>
  <c r="AD362" i="2"/>
  <c r="AC362" i="2"/>
  <c r="AL362" i="2"/>
  <c r="AG362" i="2"/>
  <c r="I27" i="2"/>
  <c r="K167" i="2"/>
  <c r="J19" i="2"/>
  <c r="K156" i="2"/>
  <c r="AD290" i="2"/>
  <c r="AD344" i="2"/>
  <c r="I132" i="2"/>
  <c r="BC148" i="2"/>
  <c r="AT148" i="2"/>
  <c r="AW148" i="2"/>
  <c r="AY148" i="2"/>
  <c r="BA148" i="2"/>
  <c r="BB148" i="2"/>
  <c r="AS148" i="2"/>
  <c r="AX148" i="2"/>
  <c r="AZ148" i="2"/>
  <c r="AU148" i="2"/>
  <c r="AR148" i="2"/>
  <c r="AV148" i="2"/>
  <c r="AW136" i="2"/>
  <c r="AX136" i="2"/>
  <c r="BB136" i="2"/>
  <c r="BC136" i="2"/>
  <c r="AZ136" i="2"/>
  <c r="AT136" i="2"/>
  <c r="AV136" i="2"/>
  <c r="BA136" i="2"/>
  <c r="AR136" i="2"/>
  <c r="AY136" i="2"/>
  <c r="AU136" i="2"/>
  <c r="AS136" i="2"/>
  <c r="BD54" i="2"/>
  <c r="AF54" i="2"/>
  <c r="AG54" i="2" s="1"/>
  <c r="AH54" i="2" s="1"/>
  <c r="AI54" i="2" s="1"/>
  <c r="AJ54" i="2" s="1"/>
  <c r="AK54" i="2" s="1"/>
  <c r="AL54" i="2" s="1"/>
  <c r="AM54" i="2" s="1"/>
  <c r="AN54" i="2" s="1"/>
  <c r="AR30" i="2"/>
  <c r="AU30" i="2"/>
  <c r="AY30" i="2"/>
  <c r="AZ30" i="2"/>
  <c r="BA30" i="2"/>
  <c r="AW30" i="2"/>
  <c r="AT30" i="2"/>
  <c r="AS30" i="2"/>
  <c r="AV30" i="2"/>
  <c r="BC30" i="2"/>
  <c r="AX30" i="2"/>
  <c r="BB30" i="2"/>
  <c r="BE77" i="2"/>
  <c r="AS96" i="2"/>
  <c r="AR96" i="2"/>
  <c r="AW96" i="2"/>
  <c r="BC96" i="2"/>
  <c r="AX96" i="2"/>
  <c r="AY96" i="2"/>
  <c r="BB96" i="2"/>
  <c r="AT96" i="2"/>
  <c r="AZ96" i="2"/>
  <c r="BA96" i="2"/>
  <c r="AU96" i="2"/>
  <c r="AV96" i="2"/>
  <c r="AV47" i="2"/>
  <c r="AS47" i="2"/>
  <c r="AR47" i="2"/>
  <c r="BB47" i="2"/>
  <c r="AW47" i="2"/>
  <c r="BC47" i="2"/>
  <c r="AY47" i="2"/>
  <c r="AX47" i="2"/>
  <c r="AZ47" i="2"/>
  <c r="AU47" i="2"/>
  <c r="BA47" i="2"/>
  <c r="AT47" i="2"/>
  <c r="AW99" i="2"/>
  <c r="AR99" i="2"/>
  <c r="AZ99" i="2"/>
  <c r="BA99" i="2"/>
  <c r="AT99" i="2"/>
  <c r="AV99" i="2"/>
  <c r="BB99" i="2"/>
  <c r="AU99" i="2"/>
  <c r="AX99" i="2"/>
  <c r="AY99" i="2"/>
  <c r="AS99" i="2"/>
  <c r="BC99" i="2"/>
  <c r="BE152" i="2"/>
  <c r="AT108" i="2"/>
  <c r="AZ108" i="2"/>
  <c r="AS108" i="2"/>
  <c r="BC108" i="2"/>
  <c r="BB108" i="2"/>
  <c r="AY108" i="2"/>
  <c r="AX108" i="2"/>
  <c r="AV108" i="2"/>
  <c r="AR108" i="2"/>
  <c r="AW108" i="2"/>
  <c r="AU108" i="2"/>
  <c r="BA108" i="2"/>
  <c r="AR36" i="2"/>
  <c r="AZ36" i="2"/>
  <c r="AT36" i="2"/>
  <c r="AW36" i="2"/>
  <c r="AU36" i="2"/>
  <c r="AV36" i="2"/>
  <c r="AY36" i="2"/>
  <c r="BB36" i="2"/>
  <c r="BC36" i="2"/>
  <c r="AS36" i="2"/>
  <c r="BA36" i="2"/>
  <c r="AX36" i="2"/>
  <c r="AY142" i="2"/>
  <c r="AZ142" i="2"/>
  <c r="AS142" i="2"/>
  <c r="AV142" i="2"/>
  <c r="AW142" i="2"/>
  <c r="AU142" i="2"/>
  <c r="BB142" i="2"/>
  <c r="AX142" i="2"/>
  <c r="BC142" i="2"/>
  <c r="AR142" i="2"/>
  <c r="BA142" i="2"/>
  <c r="AT142" i="2"/>
  <c r="AR125" i="2"/>
  <c r="BA125" i="2"/>
  <c r="AS125" i="2"/>
  <c r="AX125" i="2"/>
  <c r="AZ125" i="2"/>
  <c r="AV125" i="2"/>
  <c r="AT125" i="2"/>
  <c r="AW125" i="2"/>
  <c r="AU125" i="2"/>
  <c r="BB125" i="2"/>
  <c r="AY125" i="2"/>
  <c r="BC125" i="2"/>
  <c r="BC118" i="2"/>
  <c r="BB118" i="2"/>
  <c r="AU118" i="2"/>
  <c r="AY118" i="2"/>
  <c r="AT118" i="2"/>
  <c r="BA118" i="2"/>
  <c r="AX118" i="2"/>
  <c r="AS118" i="2"/>
  <c r="AZ118" i="2"/>
  <c r="AV118" i="2"/>
  <c r="AW118" i="2"/>
  <c r="AR118" i="2"/>
  <c r="AD388" i="2"/>
  <c r="BB137" i="2"/>
  <c r="AS137" i="2"/>
  <c r="AW137" i="2"/>
  <c r="AT137" i="2"/>
  <c r="BC137" i="2"/>
  <c r="AR137" i="2"/>
  <c r="AY137" i="2"/>
  <c r="AX137" i="2"/>
  <c r="AZ137" i="2"/>
  <c r="AU137" i="2"/>
  <c r="BA137" i="2"/>
  <c r="AV137" i="2"/>
  <c r="AT113" i="2"/>
  <c r="AW113" i="2"/>
  <c r="AU113" i="2"/>
  <c r="AV113" i="2"/>
  <c r="AY113" i="2"/>
  <c r="BB113" i="2"/>
  <c r="BC113" i="2"/>
  <c r="AS113" i="2"/>
  <c r="AX113" i="2"/>
  <c r="BA113" i="2"/>
  <c r="AR113" i="2"/>
  <c r="AZ113" i="2"/>
  <c r="AS85" i="2"/>
  <c r="AU85" i="2"/>
  <c r="BB85" i="2"/>
  <c r="BC85" i="2"/>
  <c r="BA85" i="2"/>
  <c r="AT85" i="2"/>
  <c r="AY85" i="2"/>
  <c r="AR85" i="2"/>
  <c r="AX85" i="2"/>
  <c r="AZ85" i="2"/>
  <c r="AV85" i="2"/>
  <c r="AW85" i="2"/>
  <c r="BE75" i="2"/>
  <c r="AS150" i="2"/>
  <c r="AU150" i="2"/>
  <c r="AR150" i="2"/>
  <c r="BC150" i="2"/>
  <c r="BB150" i="2"/>
  <c r="AZ150" i="2"/>
  <c r="AY150" i="2"/>
  <c r="AX150" i="2"/>
  <c r="AV150" i="2"/>
  <c r="AT150" i="2"/>
  <c r="BA150" i="2"/>
  <c r="AW150" i="2"/>
  <c r="BC139" i="2"/>
  <c r="AY139" i="2"/>
  <c r="AT139" i="2"/>
  <c r="BB139" i="2"/>
  <c r="BA139" i="2"/>
  <c r="AR139" i="2"/>
  <c r="AX139" i="2"/>
  <c r="AW139" i="2"/>
  <c r="AZ139" i="2"/>
  <c r="AS139" i="2"/>
  <c r="AU139" i="2"/>
  <c r="AV139" i="2"/>
  <c r="BB127" i="2"/>
  <c r="AX127" i="2"/>
  <c r="AZ127" i="2"/>
  <c r="AY127" i="2"/>
  <c r="AT127" i="2"/>
  <c r="BC127" i="2"/>
  <c r="AR127" i="2"/>
  <c r="AS127" i="2"/>
  <c r="AV127" i="2"/>
  <c r="AW127" i="2"/>
  <c r="AU127" i="2"/>
  <c r="BA127" i="2"/>
  <c r="S37" i="2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Q306" i="2"/>
  <c r="AZ49" i="2"/>
  <c r="BA49" i="2"/>
  <c r="BC49" i="2"/>
  <c r="AW49" i="2"/>
  <c r="AT49" i="2"/>
  <c r="BB49" i="2"/>
  <c r="AY49" i="2"/>
  <c r="AR49" i="2"/>
  <c r="AX49" i="2"/>
  <c r="AV49" i="2"/>
  <c r="AU49" i="2"/>
  <c r="AS49" i="2"/>
  <c r="BE98" i="2"/>
  <c r="AR55" i="2"/>
  <c r="BB55" i="2"/>
  <c r="AU55" i="2"/>
  <c r="AX55" i="2"/>
  <c r="AT55" i="2"/>
  <c r="BA55" i="2"/>
  <c r="AS55" i="2"/>
  <c r="AV55" i="2"/>
  <c r="AW55" i="2"/>
  <c r="AY55" i="2"/>
  <c r="BC55" i="2"/>
  <c r="AZ55" i="2"/>
  <c r="AT124" i="2"/>
  <c r="AR124" i="2"/>
  <c r="AU124" i="2"/>
  <c r="AV124" i="2"/>
  <c r="BC124" i="2"/>
  <c r="BA124" i="2"/>
  <c r="AX124" i="2"/>
  <c r="AY124" i="2"/>
  <c r="AW124" i="2"/>
  <c r="BB124" i="2"/>
  <c r="AZ124" i="2"/>
  <c r="AS124" i="2"/>
  <c r="BA59" i="2"/>
  <c r="BB59" i="2"/>
  <c r="AT59" i="2"/>
  <c r="BC59" i="2"/>
  <c r="AZ59" i="2"/>
  <c r="AU59" i="2"/>
  <c r="AY59" i="2"/>
  <c r="AW59" i="2"/>
  <c r="AX59" i="2"/>
  <c r="AS59" i="2"/>
  <c r="AV59" i="2"/>
  <c r="AR59" i="2"/>
  <c r="AU138" i="2"/>
  <c r="AV138" i="2"/>
  <c r="AT138" i="2"/>
  <c r="AY138" i="2"/>
  <c r="BB138" i="2"/>
  <c r="AW138" i="2"/>
  <c r="AR138" i="2"/>
  <c r="AX138" i="2"/>
  <c r="AS138" i="2"/>
  <c r="BC138" i="2"/>
  <c r="BA138" i="2"/>
  <c r="AZ138" i="2"/>
  <c r="AZ95" i="2"/>
  <c r="BC95" i="2"/>
  <c r="AS95" i="2"/>
  <c r="AX95" i="2"/>
  <c r="AW95" i="2"/>
  <c r="BA95" i="2"/>
  <c r="AR95" i="2"/>
  <c r="AU95" i="2"/>
  <c r="AV95" i="2"/>
  <c r="BB95" i="2"/>
  <c r="AY95" i="2"/>
  <c r="AT95" i="2"/>
  <c r="AZ120" i="2"/>
  <c r="AT120" i="2"/>
  <c r="AX120" i="2"/>
  <c r="BB120" i="2"/>
  <c r="AY120" i="2"/>
  <c r="AU120" i="2"/>
  <c r="BC120" i="2"/>
  <c r="AV120" i="2"/>
  <c r="AS120" i="2"/>
  <c r="AR120" i="2"/>
  <c r="AW120" i="2"/>
  <c r="BA120" i="2"/>
  <c r="BE82" i="2"/>
  <c r="AY116" i="2"/>
  <c r="AT116" i="2"/>
  <c r="AR116" i="2"/>
  <c r="BC116" i="2"/>
  <c r="AW116" i="2"/>
  <c r="AV116" i="2"/>
  <c r="AZ116" i="2"/>
  <c r="AS116" i="2"/>
  <c r="AU116" i="2"/>
  <c r="AX116" i="2"/>
  <c r="BA116" i="2"/>
  <c r="BB116" i="2"/>
  <c r="AT66" i="2"/>
  <c r="BB66" i="2"/>
  <c r="BC66" i="2"/>
  <c r="AZ66" i="2"/>
  <c r="AW66" i="2"/>
  <c r="AY66" i="2"/>
  <c r="AX66" i="2"/>
  <c r="AR66" i="2"/>
  <c r="BA66" i="2"/>
  <c r="AU66" i="2"/>
  <c r="AV66" i="2"/>
  <c r="AS66" i="2"/>
  <c r="AZ145" i="2"/>
  <c r="AU145" i="2"/>
  <c r="AS145" i="2"/>
  <c r="AR145" i="2"/>
  <c r="AY145" i="2"/>
  <c r="BB145" i="2"/>
  <c r="BA145" i="2"/>
  <c r="AV145" i="2"/>
  <c r="AW145" i="2"/>
  <c r="BC145" i="2"/>
  <c r="AX145" i="2"/>
  <c r="AT145" i="2"/>
  <c r="AR97" i="2"/>
  <c r="AT97" i="2"/>
  <c r="BA97" i="2"/>
  <c r="AV97" i="2"/>
  <c r="BC97" i="2"/>
  <c r="AX97" i="2"/>
  <c r="AY97" i="2"/>
  <c r="BB97" i="2"/>
  <c r="AU97" i="2"/>
  <c r="AZ97" i="2"/>
  <c r="AS97" i="2"/>
  <c r="AW97" i="2"/>
  <c r="AV105" i="2"/>
  <c r="AU105" i="2"/>
  <c r="BC105" i="2"/>
  <c r="AR105" i="2"/>
  <c r="AW105" i="2"/>
  <c r="BB105" i="2"/>
  <c r="AS105" i="2"/>
  <c r="BA105" i="2"/>
  <c r="AX105" i="2"/>
  <c r="AY105" i="2"/>
  <c r="AZ105" i="2"/>
  <c r="AT105" i="2"/>
  <c r="BE111" i="2"/>
  <c r="BE76" i="2"/>
  <c r="AY131" i="2"/>
  <c r="BA131" i="2"/>
  <c r="AX131" i="2"/>
  <c r="BC131" i="2"/>
  <c r="BB131" i="2"/>
  <c r="AW131" i="2"/>
  <c r="AZ131" i="2"/>
  <c r="AT131" i="2"/>
  <c r="AV131" i="2"/>
  <c r="AR131" i="2"/>
  <c r="AU131" i="2"/>
  <c r="AS131" i="2"/>
  <c r="AD346" i="2"/>
  <c r="J284" i="2"/>
  <c r="J29" i="2" s="1"/>
  <c r="K29" i="2" s="1"/>
  <c r="L29" i="2" s="1"/>
  <c r="Q351" i="2"/>
  <c r="J297" i="2"/>
  <c r="Q314" i="2"/>
  <c r="AD347" i="2"/>
  <c r="AD338" i="2"/>
  <c r="Q302" i="2"/>
  <c r="D58" i="12"/>
  <c r="D73" i="12" s="1"/>
  <c r="D84" i="12" s="1"/>
  <c r="D93" i="12" s="1"/>
  <c r="D96" i="12" s="1"/>
  <c r="D98" i="12" s="1"/>
  <c r="AD293" i="2"/>
  <c r="J288" i="2"/>
  <c r="J68" i="2" s="1"/>
  <c r="K68" i="2" s="1"/>
  <c r="L68" i="2" s="1"/>
  <c r="J338" i="2"/>
  <c r="J351" i="2"/>
  <c r="J348" i="2"/>
  <c r="AD334" i="2"/>
  <c r="AD352" i="2"/>
  <c r="AD309" i="2"/>
  <c r="J342" i="2"/>
  <c r="J309" i="2"/>
  <c r="J35" i="2" s="1"/>
  <c r="K35" i="2" s="1"/>
  <c r="L35" i="2" s="1"/>
  <c r="AD289" i="2"/>
  <c r="AD296" i="2"/>
  <c r="J308" i="2"/>
  <c r="J34" i="2" s="1"/>
  <c r="K34" i="2" s="1"/>
  <c r="L34" i="2" s="1"/>
  <c r="AD339" i="2"/>
  <c r="AD283" i="2"/>
  <c r="AD343" i="2"/>
  <c r="Q336" i="2"/>
  <c r="Q339" i="2"/>
  <c r="Q310" i="2"/>
  <c r="Q355" i="2"/>
  <c r="Q346" i="2"/>
  <c r="J353" i="2"/>
  <c r="Q284" i="2"/>
  <c r="J292" i="2"/>
  <c r="J79" i="2" s="1"/>
  <c r="K79" i="2" s="1"/>
  <c r="L79" i="2" s="1"/>
  <c r="J300" i="2"/>
  <c r="J70" i="2" s="1"/>
  <c r="K70" i="2" s="1"/>
  <c r="L70" i="2" s="1"/>
  <c r="Q294" i="2"/>
  <c r="AD302" i="2"/>
  <c r="J296" i="2"/>
  <c r="J50" i="2" s="1"/>
  <c r="K50" i="2" s="1"/>
  <c r="L50" i="2" s="1"/>
  <c r="J298" i="2"/>
  <c r="AD306" i="2"/>
  <c r="J307" i="2"/>
  <c r="J33" i="2" s="1"/>
  <c r="K33" i="2" s="1"/>
  <c r="L33" i="2" s="1"/>
  <c r="AD298" i="2"/>
  <c r="AD303" i="2"/>
  <c r="AD342" i="2"/>
  <c r="AD292" i="2"/>
  <c r="J339" i="2"/>
  <c r="J303" i="2"/>
  <c r="J81" i="2" s="1"/>
  <c r="K81" i="2" s="1"/>
  <c r="L81" i="2" s="1"/>
  <c r="Q301" i="2"/>
  <c r="J311" i="2"/>
  <c r="AD341" i="2"/>
  <c r="AD307" i="2"/>
  <c r="J341" i="2"/>
  <c r="AD297" i="2"/>
  <c r="Q347" i="2"/>
  <c r="Q290" i="2"/>
  <c r="J334" i="2"/>
  <c r="Q288" i="2"/>
  <c r="J349" i="2"/>
  <c r="AD351" i="2"/>
  <c r="AD349" i="2"/>
  <c r="AD350" i="2"/>
  <c r="AD348" i="2"/>
  <c r="Q348" i="2"/>
  <c r="Q341" i="2"/>
  <c r="AD333" i="2"/>
  <c r="E58" i="12"/>
  <c r="Q303" i="2"/>
  <c r="J295" i="2"/>
  <c r="J57" i="2" s="1"/>
  <c r="K57" i="2" s="1"/>
  <c r="L57" i="2" s="1"/>
  <c r="J347" i="2"/>
  <c r="J346" i="2"/>
  <c r="AD295" i="2"/>
  <c r="J301" i="2"/>
  <c r="Q300" i="2"/>
  <c r="J291" i="2"/>
  <c r="J72" i="2" s="1"/>
  <c r="K72" i="2" s="1"/>
  <c r="L72" i="2" s="1"/>
  <c r="J343" i="2"/>
  <c r="Q350" i="2"/>
  <c r="AD301" i="2"/>
  <c r="AD291" i="2"/>
  <c r="Q291" i="2"/>
  <c r="C58" i="12"/>
  <c r="C73" i="12" s="1"/>
  <c r="Q309" i="2"/>
  <c r="Q304" i="2"/>
  <c r="AD363" i="2"/>
  <c r="AD320" i="2"/>
  <c r="AD466" i="2"/>
  <c r="AG263" i="2"/>
  <c r="T229" i="2"/>
  <c r="T432" i="2" s="1"/>
  <c r="T390" i="2"/>
  <c r="W179" i="2"/>
  <c r="M394" i="2"/>
  <c r="M233" i="2"/>
  <c r="M436" i="2" s="1"/>
  <c r="M246" i="2"/>
  <c r="M449" i="2" s="1"/>
  <c r="M407" i="2"/>
  <c r="M247" i="2"/>
  <c r="M450" i="2" s="1"/>
  <c r="M408" i="2"/>
  <c r="Q361" i="2"/>
  <c r="Q318" i="2"/>
  <c r="T213" i="2"/>
  <c r="Q424" i="2"/>
  <c r="M199" i="2"/>
  <c r="J249" i="2"/>
  <c r="M251" i="2"/>
  <c r="M454" i="2" s="1"/>
  <c r="M412" i="2"/>
  <c r="AD345" i="2"/>
  <c r="T413" i="2"/>
  <c r="W202" i="2"/>
  <c r="T252" i="2"/>
  <c r="T455" i="2" s="1"/>
  <c r="Q342" i="2"/>
  <c r="W186" i="2"/>
  <c r="T236" i="2"/>
  <c r="T439" i="2" s="1"/>
  <c r="T397" i="2"/>
  <c r="Q286" i="2"/>
  <c r="Q215" i="2"/>
  <c r="T176" i="2"/>
  <c r="Q387" i="2"/>
  <c r="Q226" i="2"/>
  <c r="Q332" i="2" s="1"/>
  <c r="Q340" i="2"/>
  <c r="Q285" i="2"/>
  <c r="J285" i="2"/>
  <c r="M260" i="2"/>
  <c r="M414" i="2"/>
  <c r="M253" i="2"/>
  <c r="M456" i="2" s="1"/>
  <c r="M237" i="2"/>
  <c r="M440" i="2" s="1"/>
  <c r="M398" i="2"/>
  <c r="M411" i="2"/>
  <c r="M250" i="2"/>
  <c r="M453" i="2" s="1"/>
  <c r="W203" i="2"/>
  <c r="T414" i="2"/>
  <c r="T253" i="2"/>
  <c r="T456" i="2" s="1"/>
  <c r="AG208" i="2"/>
  <c r="AD258" i="2"/>
  <c r="AD284" i="2"/>
  <c r="J314" i="2"/>
  <c r="J89" i="2" s="1"/>
  <c r="K89" i="2" s="1"/>
  <c r="L89" i="2" s="1"/>
  <c r="J352" i="2"/>
  <c r="J141" i="2" s="1"/>
  <c r="K141" i="2" s="1"/>
  <c r="L141" i="2" s="1"/>
  <c r="T406" i="2"/>
  <c r="T245" i="2"/>
  <c r="T448" i="2" s="1"/>
  <c r="W195" i="2"/>
  <c r="AG213" i="2"/>
  <c r="AD424" i="2"/>
  <c r="AD318" i="2"/>
  <c r="AD361" i="2"/>
  <c r="J345" i="2"/>
  <c r="J119" i="2" s="1"/>
  <c r="K119" i="2" s="1"/>
  <c r="L119" i="2" s="1"/>
  <c r="AG235" i="2"/>
  <c r="AG438" i="2" s="1"/>
  <c r="AG396" i="2"/>
  <c r="AJ185" i="2"/>
  <c r="W185" i="2"/>
  <c r="T235" i="2"/>
  <c r="T438" i="2" s="1"/>
  <c r="T396" i="2"/>
  <c r="W212" i="2"/>
  <c r="T262" i="2"/>
  <c r="AG253" i="2"/>
  <c r="AG456" i="2" s="1"/>
  <c r="AG414" i="2"/>
  <c r="AJ203" i="2"/>
  <c r="AJ211" i="2"/>
  <c r="AG261" i="2"/>
  <c r="AG252" i="2"/>
  <c r="AG455" i="2" s="1"/>
  <c r="AG413" i="2"/>
  <c r="AJ202" i="2"/>
  <c r="AG255" i="2"/>
  <c r="AG458" i="2" s="1"/>
  <c r="AG416" i="2"/>
  <c r="AJ205" i="2"/>
  <c r="Q344" i="2"/>
  <c r="Q295" i="2"/>
  <c r="M403" i="2"/>
  <c r="M242" i="2"/>
  <c r="M445" i="2" s="1"/>
  <c r="T420" i="2"/>
  <c r="T259" i="2"/>
  <c r="T462" i="2" s="1"/>
  <c r="W209" i="2"/>
  <c r="AJ192" i="2"/>
  <c r="AG403" i="2"/>
  <c r="AG242" i="2"/>
  <c r="AG445" i="2" s="1"/>
  <c r="W206" i="2"/>
  <c r="T417" i="2"/>
  <c r="T256" i="2"/>
  <c r="T459" i="2" s="1"/>
  <c r="T251" i="2"/>
  <c r="T454" i="2" s="1"/>
  <c r="T412" i="2"/>
  <c r="W201" i="2"/>
  <c r="T395" i="2"/>
  <c r="W184" i="2"/>
  <c r="T234" i="2"/>
  <c r="T437" i="2" s="1"/>
  <c r="J310" i="2"/>
  <c r="T241" i="2"/>
  <c r="T444" i="2" s="1"/>
  <c r="T402" i="2"/>
  <c r="W191" i="2"/>
  <c r="M409" i="2"/>
  <c r="M248" i="2"/>
  <c r="M451" i="2" s="1"/>
  <c r="AJ200" i="2"/>
  <c r="AG411" i="2"/>
  <c r="AG250" i="2"/>
  <c r="AG453" i="2" s="1"/>
  <c r="T242" i="2"/>
  <c r="T445" i="2" s="1"/>
  <c r="W192" i="2"/>
  <c r="T403" i="2"/>
  <c r="M389" i="2"/>
  <c r="M228" i="2"/>
  <c r="M431" i="2" s="1"/>
  <c r="M334" i="2"/>
  <c r="M390" i="2"/>
  <c r="M229" i="2"/>
  <c r="M432" i="2" s="1"/>
  <c r="AG397" i="2"/>
  <c r="AJ186" i="2"/>
  <c r="AG236" i="2"/>
  <c r="AG439" i="2" s="1"/>
  <c r="AG238" i="2"/>
  <c r="AG441" i="2" s="1"/>
  <c r="AJ188" i="2"/>
  <c r="AG399" i="2"/>
  <c r="M415" i="2"/>
  <c r="M254" i="2"/>
  <c r="M457" i="2" s="1"/>
  <c r="T232" i="2"/>
  <c r="T435" i="2" s="1"/>
  <c r="W182" i="2"/>
  <c r="T393" i="2"/>
  <c r="AG246" i="2"/>
  <c r="AG449" i="2" s="1"/>
  <c r="AJ196" i="2"/>
  <c r="AG407" i="2"/>
  <c r="AG394" i="2"/>
  <c r="AJ183" i="2"/>
  <c r="AG233" i="2"/>
  <c r="AG436" i="2" s="1"/>
  <c r="M404" i="2"/>
  <c r="M243" i="2"/>
  <c r="M446" i="2" s="1"/>
  <c r="J388" i="2"/>
  <c r="J227" i="2"/>
  <c r="J430" i="2" s="1"/>
  <c r="M177" i="2"/>
  <c r="M417" i="2"/>
  <c r="M256" i="2"/>
  <c r="M459" i="2" s="1"/>
  <c r="AG404" i="2"/>
  <c r="AG243" i="2"/>
  <c r="AG446" i="2" s="1"/>
  <c r="AJ193" i="2"/>
  <c r="T404" i="2"/>
  <c r="W193" i="2"/>
  <c r="T243" i="2"/>
  <c r="T446" i="2" s="1"/>
  <c r="J322" i="2"/>
  <c r="J64" i="2" s="1"/>
  <c r="K64" i="2" s="1"/>
  <c r="L64" i="2" s="1"/>
  <c r="J364" i="2"/>
  <c r="AG412" i="2"/>
  <c r="AG251" i="2"/>
  <c r="AG454" i="2" s="1"/>
  <c r="AJ201" i="2"/>
  <c r="T398" i="2"/>
  <c r="T237" i="2"/>
  <c r="T440" i="2" s="1"/>
  <c r="W187" i="2"/>
  <c r="AJ206" i="2"/>
  <c r="AG417" i="2"/>
  <c r="AG256" i="2"/>
  <c r="AG459" i="2" s="1"/>
  <c r="M181" i="2"/>
  <c r="J392" i="2"/>
  <c r="J231" i="2"/>
  <c r="J434" i="2" s="1"/>
  <c r="M400" i="2"/>
  <c r="M239" i="2"/>
  <c r="M442" i="2" s="1"/>
  <c r="AG398" i="2"/>
  <c r="AJ187" i="2"/>
  <c r="AG237" i="2"/>
  <c r="AG440" i="2" s="1"/>
  <c r="AG391" i="2"/>
  <c r="AG230" i="2"/>
  <c r="AG433" i="2" s="1"/>
  <c r="AJ180" i="2"/>
  <c r="AJ179" i="2"/>
  <c r="AG229" i="2"/>
  <c r="AG432" i="2" s="1"/>
  <c r="AG390" i="2"/>
  <c r="AJ184" i="2"/>
  <c r="AG395" i="2"/>
  <c r="AG234" i="2"/>
  <c r="AG437" i="2" s="1"/>
  <c r="AG400" i="2"/>
  <c r="AJ189" i="2"/>
  <c r="AG239" i="2"/>
  <c r="AG442" i="2" s="1"/>
  <c r="Q296" i="2"/>
  <c r="W190" i="2"/>
  <c r="T401" i="2"/>
  <c r="T240" i="2"/>
  <c r="T443" i="2" s="1"/>
  <c r="Q349" i="2"/>
  <c r="W194" i="2"/>
  <c r="T405" i="2"/>
  <c r="T244" i="2"/>
  <c r="T447" i="2" s="1"/>
  <c r="M235" i="2"/>
  <c r="M438" i="2" s="1"/>
  <c r="M396" i="2"/>
  <c r="T411" i="2"/>
  <c r="T250" i="2"/>
  <c r="T453" i="2" s="1"/>
  <c r="W200" i="2"/>
  <c r="AG260" i="2"/>
  <c r="AJ210" i="2"/>
  <c r="M252" i="2"/>
  <c r="M455" i="2" s="1"/>
  <c r="M413" i="2"/>
  <c r="M262" i="2"/>
  <c r="M416" i="2"/>
  <c r="M255" i="2"/>
  <c r="M458" i="2" s="1"/>
  <c r="Q258" i="2"/>
  <c r="T208" i="2"/>
  <c r="J355" i="2"/>
  <c r="J107" i="2" s="1"/>
  <c r="K107" i="2" s="1"/>
  <c r="L107" i="2" s="1"/>
  <c r="AG181" i="2"/>
  <c r="AD231" i="2"/>
  <c r="AD434" i="2" s="1"/>
  <c r="AD392" i="2"/>
  <c r="AJ190" i="2"/>
  <c r="AG401" i="2"/>
  <c r="AG240" i="2"/>
  <c r="AG443" i="2" s="1"/>
  <c r="Q307" i="2"/>
  <c r="Q311" i="2"/>
  <c r="Q292" i="2"/>
  <c r="W180" i="2"/>
  <c r="T230" i="2"/>
  <c r="T433" i="2" s="1"/>
  <c r="T391" i="2"/>
  <c r="Q249" i="2"/>
  <c r="T199" i="2"/>
  <c r="AG408" i="2"/>
  <c r="AJ197" i="2"/>
  <c r="AG247" i="2"/>
  <c r="AG450" i="2" s="1"/>
  <c r="Q289" i="2"/>
  <c r="T394" i="2"/>
  <c r="T233" i="2"/>
  <c r="T436" i="2" s="1"/>
  <c r="W183" i="2"/>
  <c r="W205" i="2"/>
  <c r="T416" i="2"/>
  <c r="T255" i="2"/>
  <c r="T458" i="2" s="1"/>
  <c r="W210" i="2"/>
  <c r="T260" i="2"/>
  <c r="AJ191" i="2"/>
  <c r="AG402" i="2"/>
  <c r="AG241" i="2"/>
  <c r="AG444" i="2" s="1"/>
  <c r="Q297" i="2"/>
  <c r="J304" i="2"/>
  <c r="Q334" i="2"/>
  <c r="W178" i="2"/>
  <c r="T389" i="2"/>
  <c r="T228" i="2"/>
  <c r="T431" i="2" s="1"/>
  <c r="Q298" i="2"/>
  <c r="AJ204" i="2"/>
  <c r="AG415" i="2"/>
  <c r="AG254" i="2"/>
  <c r="AG457" i="2" s="1"/>
  <c r="M236" i="2"/>
  <c r="M439" i="2" s="1"/>
  <c r="M397" i="2"/>
  <c r="J294" i="2"/>
  <c r="J80" i="2" s="1"/>
  <c r="K80" i="2" s="1"/>
  <c r="L80" i="2" s="1"/>
  <c r="AD288" i="2"/>
  <c r="AG232" i="2"/>
  <c r="AG435" i="2" s="1"/>
  <c r="AG393" i="2"/>
  <c r="AJ182" i="2"/>
  <c r="T407" i="2"/>
  <c r="T246" i="2"/>
  <c r="T449" i="2" s="1"/>
  <c r="W196" i="2"/>
  <c r="M393" i="2"/>
  <c r="M232" i="2"/>
  <c r="M435" i="2" s="1"/>
  <c r="Q335" i="2"/>
  <c r="J335" i="2"/>
  <c r="J129" i="2" s="1"/>
  <c r="K129" i="2" s="1"/>
  <c r="L129" i="2" s="1"/>
  <c r="J289" i="2"/>
  <c r="J67" i="2" s="1"/>
  <c r="K67" i="2" s="1"/>
  <c r="L67" i="2" s="1"/>
  <c r="AD294" i="2"/>
  <c r="J293" i="2"/>
  <c r="J73" i="2" s="1"/>
  <c r="K73" i="2" s="1"/>
  <c r="L73" i="2" s="1"/>
  <c r="T221" i="2"/>
  <c r="Q364" i="2"/>
  <c r="Q322" i="2"/>
  <c r="Q338" i="2"/>
  <c r="J306" i="2"/>
  <c r="J32" i="2" s="1"/>
  <c r="K32" i="2" s="1"/>
  <c r="L32" i="2" s="1"/>
  <c r="T399" i="2"/>
  <c r="W188" i="2"/>
  <c r="T238" i="2"/>
  <c r="T441" i="2" s="1"/>
  <c r="J361" i="2"/>
  <c r="J143" i="2" s="1"/>
  <c r="K143" i="2" s="1"/>
  <c r="L143" i="2" s="1"/>
  <c r="M143" i="2" s="1"/>
  <c r="N143" i="2" s="1"/>
  <c r="O143" i="2" s="1"/>
  <c r="P143" i="2" s="1"/>
  <c r="J424" i="2"/>
  <c r="J318" i="2"/>
  <c r="K87" i="2" s="1"/>
  <c r="L87" i="2" s="1"/>
  <c r="M87" i="2" s="1"/>
  <c r="N87" i="2" s="1"/>
  <c r="O87" i="2" s="1"/>
  <c r="P87" i="2" s="1"/>
  <c r="J302" i="2"/>
  <c r="J299" i="2"/>
  <c r="J31" i="2" s="1"/>
  <c r="K31" i="2" s="1"/>
  <c r="L31" i="2" s="1"/>
  <c r="J466" i="2"/>
  <c r="J320" i="2"/>
  <c r="J88" i="2" s="1"/>
  <c r="K88" i="2" s="1"/>
  <c r="L88" i="2" s="1"/>
  <c r="J363" i="2"/>
  <c r="J144" i="2" s="1"/>
  <c r="K144" i="2" s="1"/>
  <c r="L144" i="2" s="1"/>
  <c r="M263" i="2"/>
  <c r="M208" i="2"/>
  <c r="J258" i="2"/>
  <c r="T177" i="2"/>
  <c r="Q227" i="2"/>
  <c r="Q430" i="2" s="1"/>
  <c r="Q388" i="2"/>
  <c r="M401" i="2"/>
  <c r="M240" i="2"/>
  <c r="M443" i="2" s="1"/>
  <c r="AD299" i="2"/>
  <c r="AD314" i="2"/>
  <c r="Q293" i="2"/>
  <c r="AG176" i="2"/>
  <c r="AD387" i="2"/>
  <c r="AD215" i="2"/>
  <c r="AD226" i="2"/>
  <c r="AD282" i="2" s="1"/>
  <c r="C101" i="12"/>
  <c r="T408" i="2"/>
  <c r="W197" i="2"/>
  <c r="T247" i="2"/>
  <c r="T450" i="2" s="1"/>
  <c r="Q466" i="2"/>
  <c r="T263" i="2"/>
  <c r="Q363" i="2"/>
  <c r="Q320" i="2"/>
  <c r="AD286" i="2"/>
  <c r="AD285" i="2"/>
  <c r="W204" i="2"/>
  <c r="T415" i="2"/>
  <c r="T254" i="2"/>
  <c r="T457" i="2" s="1"/>
  <c r="M261" i="2"/>
  <c r="W198" i="2"/>
  <c r="T248" i="2"/>
  <c r="AG221" i="2"/>
  <c r="AD364" i="2"/>
  <c r="AD322" i="2"/>
  <c r="M234" i="2"/>
  <c r="M437" i="2" s="1"/>
  <c r="M395" i="2"/>
  <c r="M391" i="2"/>
  <c r="M230" i="2"/>
  <c r="M433" i="2" s="1"/>
  <c r="AJ212" i="2"/>
  <c r="AG262" i="2"/>
  <c r="W211" i="2"/>
  <c r="T261" i="2"/>
  <c r="M399" i="2"/>
  <c r="M238" i="2"/>
  <c r="M441" i="2" s="1"/>
  <c r="M405" i="2"/>
  <c r="M244" i="2"/>
  <c r="M447" i="2" s="1"/>
  <c r="AG244" i="2"/>
  <c r="AG447" i="2" s="1"/>
  <c r="AG405" i="2"/>
  <c r="AJ194" i="2"/>
  <c r="AG389" i="2"/>
  <c r="AJ178" i="2"/>
  <c r="AG228" i="2"/>
  <c r="AG431" i="2" s="1"/>
  <c r="M420" i="2"/>
  <c r="M259" i="2"/>
  <c r="M462" i="2" s="1"/>
  <c r="AG406" i="2"/>
  <c r="AJ195" i="2"/>
  <c r="AG245" i="2"/>
  <c r="AG448" i="2" s="1"/>
  <c r="AJ198" i="2"/>
  <c r="AG409" i="2"/>
  <c r="AG248" i="2"/>
  <c r="AG451" i="2" s="1"/>
  <c r="M364" i="2"/>
  <c r="M322" i="2"/>
  <c r="T181" i="2"/>
  <c r="Q231" i="2"/>
  <c r="Q434" i="2" s="1"/>
  <c r="Q392" i="2"/>
  <c r="AG227" i="2"/>
  <c r="AG430" i="2" s="1"/>
  <c r="AJ177" i="2"/>
  <c r="AG388" i="2"/>
  <c r="AG259" i="2"/>
  <c r="AG462" i="2" s="1"/>
  <c r="AJ209" i="2"/>
  <c r="AG420" i="2"/>
  <c r="AD355" i="2"/>
  <c r="Q343" i="2"/>
  <c r="AD308" i="2"/>
  <c r="AD311" i="2"/>
  <c r="AD310" i="2"/>
  <c r="T239" i="2"/>
  <c r="T442" i="2" s="1"/>
  <c r="T400" i="2"/>
  <c r="W189" i="2"/>
  <c r="J387" i="2"/>
  <c r="J215" i="2"/>
  <c r="M176" i="2"/>
  <c r="J226" i="2"/>
  <c r="Q352" i="2"/>
  <c r="J344" i="2"/>
  <c r="AD336" i="2"/>
  <c r="AD335" i="2"/>
  <c r="AD249" i="2"/>
  <c r="AG199" i="2"/>
  <c r="M402" i="2"/>
  <c r="M241" i="2"/>
  <c r="M444" i="2" s="1"/>
  <c r="J290" i="2"/>
  <c r="J45" i="2" s="1"/>
  <c r="K45" i="2" s="1"/>
  <c r="L45" i="2" s="1"/>
  <c r="M245" i="2"/>
  <c r="M448" i="2" s="1"/>
  <c r="M406" i="2"/>
  <c r="Q345" i="2"/>
  <c r="J71" i="2" l="1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  <c r="Y71" i="2" s="1"/>
  <c r="T409" i="2"/>
  <c r="T451" i="2"/>
  <c r="AQ91" i="2"/>
  <c r="E8" i="15"/>
  <c r="F8" i="15" s="1"/>
  <c r="E7" i="15"/>
  <c r="AA313" i="2" s="1"/>
  <c r="Q313" i="2" s="1"/>
  <c r="J106" i="2"/>
  <c r="K106" i="2" s="1"/>
  <c r="L106" i="2" s="1"/>
  <c r="AJ323" i="2"/>
  <c r="AJ327" i="2" s="1"/>
  <c r="J133" i="2"/>
  <c r="K133" i="2" s="1"/>
  <c r="L133" i="2" s="1"/>
  <c r="J135" i="2"/>
  <c r="K135" i="2" s="1"/>
  <c r="L135" i="2" s="1"/>
  <c r="M135" i="2" s="1"/>
  <c r="N135" i="2" s="1"/>
  <c r="Y353" i="2"/>
  <c r="U353" i="2"/>
  <c r="P353" i="2"/>
  <c r="R353" i="2"/>
  <c r="X353" i="2"/>
  <c r="S353" i="2"/>
  <c r="O353" i="2"/>
  <c r="V353" i="2"/>
  <c r="J128" i="2"/>
  <c r="K128" i="2" s="1"/>
  <c r="L128" i="2" s="1"/>
  <c r="J28" i="2"/>
  <c r="K28" i="2" s="1"/>
  <c r="L28" i="2" s="1"/>
  <c r="J123" i="2"/>
  <c r="K123" i="2" s="1"/>
  <c r="L123" i="2" s="1"/>
  <c r="J58" i="2"/>
  <c r="K58" i="2" s="1"/>
  <c r="L58" i="2" s="1"/>
  <c r="AQ53" i="2"/>
  <c r="AQ162" i="2"/>
  <c r="S162" i="2"/>
  <c r="T162" i="2" s="1"/>
  <c r="U162" i="2" s="1"/>
  <c r="V162" i="2" s="1"/>
  <c r="D54" i="14"/>
  <c r="E54" i="14" s="1"/>
  <c r="J132" i="2"/>
  <c r="K132" i="2" s="1"/>
  <c r="L132" i="2" s="1"/>
  <c r="AC366" i="2"/>
  <c r="AC365" i="2" s="1"/>
  <c r="AC369" i="2" s="1"/>
  <c r="AL366" i="2"/>
  <c r="AL365" i="2" s="1"/>
  <c r="AL369" i="2" s="1"/>
  <c r="AE366" i="2"/>
  <c r="AE365" i="2" s="1"/>
  <c r="AE369" i="2" s="1"/>
  <c r="AB366" i="2"/>
  <c r="AB365" i="2" s="1"/>
  <c r="AB369" i="2" s="1"/>
  <c r="AD366" i="2"/>
  <c r="AD365" i="2" s="1"/>
  <c r="AD369" i="2" s="1"/>
  <c r="AK366" i="2"/>
  <c r="AK365" i="2" s="1"/>
  <c r="AK369" i="2" s="1"/>
  <c r="AF366" i="2"/>
  <c r="AF365" i="2" s="1"/>
  <c r="AF369" i="2" s="1"/>
  <c r="AG366" i="2"/>
  <c r="AG365" i="2" s="1"/>
  <c r="AG369" i="2" s="1"/>
  <c r="AI366" i="2"/>
  <c r="AI365" i="2" s="1"/>
  <c r="AI369" i="2" s="1"/>
  <c r="AH366" i="2"/>
  <c r="AH365" i="2" s="1"/>
  <c r="AH369" i="2" s="1"/>
  <c r="AN313" i="2"/>
  <c r="AD313" i="2" s="1"/>
  <c r="I7" i="15"/>
  <c r="I13" i="15"/>
  <c r="AN305" i="2"/>
  <c r="Z425" i="2"/>
  <c r="W425" i="2"/>
  <c r="Q425" i="2"/>
  <c r="T425" i="2"/>
  <c r="B13" i="15"/>
  <c r="B8" i="15"/>
  <c r="B5" i="15"/>
  <c r="B14" i="15"/>
  <c r="B7" i="15"/>
  <c r="F13" i="15"/>
  <c r="AA305" i="2"/>
  <c r="Q305" i="2" s="1"/>
  <c r="AA315" i="2"/>
  <c r="T315" i="2" s="1"/>
  <c r="F5" i="15"/>
  <c r="I8" i="15"/>
  <c r="AN316" i="2"/>
  <c r="O122" i="2"/>
  <c r="P122" i="2" s="1"/>
  <c r="Q122" i="2" s="1"/>
  <c r="R122" i="2" s="1"/>
  <c r="C22" i="14"/>
  <c r="C28" i="14"/>
  <c r="D29" i="14"/>
  <c r="E21" i="14"/>
  <c r="F14" i="15"/>
  <c r="AA317" i="2"/>
  <c r="T317" i="2" s="1"/>
  <c r="I14" i="15"/>
  <c r="AN317" i="2"/>
  <c r="I104" i="2"/>
  <c r="AN315" i="2"/>
  <c r="AG315" i="2" s="1"/>
  <c r="I5" i="15"/>
  <c r="V362" i="2"/>
  <c r="W362" i="2"/>
  <c r="S362" i="2"/>
  <c r="R362" i="2"/>
  <c r="U362" i="2"/>
  <c r="Q362" i="2"/>
  <c r="P362" i="2"/>
  <c r="T362" i="2"/>
  <c r="X362" i="2"/>
  <c r="Y362" i="2"/>
  <c r="Z362" i="2"/>
  <c r="O362" i="2"/>
  <c r="AL24" i="18"/>
  <c r="BE149" i="2"/>
  <c r="BE126" i="2"/>
  <c r="BE151" i="2"/>
  <c r="BE61" i="2"/>
  <c r="T365" i="2"/>
  <c r="T369" i="2" s="1"/>
  <c r="Z32" i="18"/>
  <c r="BE112" i="2"/>
  <c r="AJ365" i="2"/>
  <c r="AJ369" i="2" s="1"/>
  <c r="AF164" i="2"/>
  <c r="AG164" i="2" s="1"/>
  <c r="AH164" i="2" s="1"/>
  <c r="AI164" i="2" s="1"/>
  <c r="AJ164" i="2" s="1"/>
  <c r="AK164" i="2" s="1"/>
  <c r="AL164" i="2" s="1"/>
  <c r="AM164" i="2" s="1"/>
  <c r="AN164" i="2" s="1"/>
  <c r="BE69" i="2"/>
  <c r="BE92" i="2"/>
  <c r="AL25" i="18"/>
  <c r="BE39" i="2"/>
  <c r="BE51" i="2"/>
  <c r="J369" i="2"/>
  <c r="J168" i="2" s="1"/>
  <c r="J121" i="2"/>
  <c r="K121" i="2" s="1"/>
  <c r="L121" i="2" s="1"/>
  <c r="M121" i="2" s="1"/>
  <c r="N121" i="2" s="1"/>
  <c r="O121" i="2" s="1"/>
  <c r="P121" i="2" s="1"/>
  <c r="Q121" i="2" s="1"/>
  <c r="R121" i="2" s="1"/>
  <c r="T53" i="2"/>
  <c r="U53" i="2" s="1"/>
  <c r="V53" i="2" s="1"/>
  <c r="J327" i="2"/>
  <c r="J163" i="2" s="1"/>
  <c r="J52" i="2"/>
  <c r="K52" i="2" s="1"/>
  <c r="L52" i="2" s="1"/>
  <c r="M52" i="2" s="1"/>
  <c r="N52" i="2" s="1"/>
  <c r="O52" i="2" s="1"/>
  <c r="P52" i="2" s="1"/>
  <c r="Q52" i="2" s="1"/>
  <c r="R52" i="2" s="1"/>
  <c r="W222" i="2"/>
  <c r="W59" i="18"/>
  <c r="S109" i="2"/>
  <c r="T109" i="2" s="1"/>
  <c r="U109" i="2" s="1"/>
  <c r="V109" i="2" s="1"/>
  <c r="W109" i="2" s="1"/>
  <c r="X109" i="2" s="1"/>
  <c r="Y109" i="2" s="1"/>
  <c r="Z109" i="2" s="1"/>
  <c r="AA109" i="2" s="1"/>
  <c r="AB109" i="2" s="1"/>
  <c r="AC109" i="2" s="1"/>
  <c r="AD109" i="2" s="1"/>
  <c r="AE109" i="2" s="1"/>
  <c r="BD109" i="2" s="1"/>
  <c r="Z368" i="2"/>
  <c r="Z326" i="2"/>
  <c r="Z45" i="18"/>
  <c r="Z53" i="18" s="1"/>
  <c r="Z271" i="2"/>
  <c r="Z274" i="2" s="1"/>
  <c r="Z23" i="18"/>
  <c r="Z24" i="18" s="1"/>
  <c r="W366" i="2"/>
  <c r="W324" i="2"/>
  <c r="W23" i="18"/>
  <c r="W24" i="18" s="1"/>
  <c r="Z25" i="18" s="1"/>
  <c r="W326" i="2"/>
  <c r="W271" i="2"/>
  <c r="W274" i="2" s="1"/>
  <c r="W45" i="18"/>
  <c r="W53" i="18" s="1"/>
  <c r="W368" i="2"/>
  <c r="AM324" i="2"/>
  <c r="AM366" i="2"/>
  <c r="AL59" i="18"/>
  <c r="AM222" i="2"/>
  <c r="Z57" i="18"/>
  <c r="Z56" i="18" s="1"/>
  <c r="Z267" i="2"/>
  <c r="BE40" i="2"/>
  <c r="T323" i="2"/>
  <c r="T327" i="2" s="1"/>
  <c r="L159" i="2"/>
  <c r="K20" i="2"/>
  <c r="BE136" i="2"/>
  <c r="L167" i="2"/>
  <c r="AX54" i="2"/>
  <c r="BA54" i="2"/>
  <c r="AV54" i="2"/>
  <c r="BB54" i="2"/>
  <c r="AT54" i="2"/>
  <c r="AU54" i="2"/>
  <c r="BC54" i="2"/>
  <c r="AR54" i="2"/>
  <c r="AS54" i="2"/>
  <c r="AZ54" i="2"/>
  <c r="AY54" i="2"/>
  <c r="AW54" i="2"/>
  <c r="Q87" i="2"/>
  <c r="R87" i="2" s="1"/>
  <c r="S87" i="2" s="1"/>
  <c r="BE139" i="2"/>
  <c r="BE113" i="2"/>
  <c r="BE148" i="2"/>
  <c r="BD91" i="2"/>
  <c r="AF91" i="2"/>
  <c r="AG91" i="2" s="1"/>
  <c r="AH91" i="2" s="1"/>
  <c r="AI91" i="2" s="1"/>
  <c r="AJ91" i="2" s="1"/>
  <c r="AK91" i="2" s="1"/>
  <c r="AL91" i="2" s="1"/>
  <c r="AM91" i="2" s="1"/>
  <c r="AN91" i="2" s="1"/>
  <c r="K19" i="2"/>
  <c r="L156" i="2"/>
  <c r="J27" i="2"/>
  <c r="K27" i="2" s="1"/>
  <c r="L27" i="2" s="1"/>
  <c r="AY164" i="2"/>
  <c r="AX164" i="2"/>
  <c r="AV164" i="2"/>
  <c r="AZ164" i="2"/>
  <c r="BA164" i="2"/>
  <c r="AU164" i="2"/>
  <c r="BB164" i="2"/>
  <c r="BC164" i="2"/>
  <c r="AR164" i="2"/>
  <c r="AW164" i="2"/>
  <c r="AS164" i="2"/>
  <c r="AT164" i="2"/>
  <c r="BE105" i="2"/>
  <c r="BE95" i="2"/>
  <c r="BE138" i="2"/>
  <c r="BE49" i="2"/>
  <c r="BE131" i="2"/>
  <c r="BE116" i="2"/>
  <c r="BE55" i="2"/>
  <c r="BE125" i="2"/>
  <c r="BE36" i="2"/>
  <c r="BD37" i="2"/>
  <c r="AF37" i="2"/>
  <c r="AG37" i="2" s="1"/>
  <c r="AH37" i="2" s="1"/>
  <c r="AI37" i="2" s="1"/>
  <c r="AJ37" i="2" s="1"/>
  <c r="AK37" i="2" s="1"/>
  <c r="AL37" i="2" s="1"/>
  <c r="AM37" i="2" s="1"/>
  <c r="AN37" i="2" s="1"/>
  <c r="BE47" i="2"/>
  <c r="BE97" i="2"/>
  <c r="BE59" i="2"/>
  <c r="BE127" i="2"/>
  <c r="BE150" i="2"/>
  <c r="BE85" i="2"/>
  <c r="BE118" i="2"/>
  <c r="M298" i="2"/>
  <c r="BE145" i="2"/>
  <c r="BE66" i="2"/>
  <c r="BE120" i="2"/>
  <c r="BE124" i="2"/>
  <c r="BE137" i="2"/>
  <c r="BE142" i="2"/>
  <c r="BE108" i="2"/>
  <c r="BE99" i="2"/>
  <c r="BE96" i="2"/>
  <c r="BE30" i="2"/>
  <c r="M302" i="2"/>
  <c r="M346" i="2"/>
  <c r="T309" i="2"/>
  <c r="AG286" i="2"/>
  <c r="AG351" i="2"/>
  <c r="AG294" i="2"/>
  <c r="AG338" i="2"/>
  <c r="D101" i="12"/>
  <c r="D117" i="12" s="1"/>
  <c r="D119" i="12" s="1"/>
  <c r="D121" i="12" s="1"/>
  <c r="AG333" i="2"/>
  <c r="Q287" i="2"/>
  <c r="AG336" i="2"/>
  <c r="M308" i="2"/>
  <c r="M34" i="2" s="1"/>
  <c r="N34" i="2" s="1"/>
  <c r="O34" i="2" s="1"/>
  <c r="P34" i="2" s="1"/>
  <c r="Q34" i="2" s="1"/>
  <c r="R34" i="2" s="1"/>
  <c r="AQ34" i="2" s="1"/>
  <c r="T307" i="2"/>
  <c r="M297" i="2"/>
  <c r="T295" i="2"/>
  <c r="AG334" i="2"/>
  <c r="AG349" i="2"/>
  <c r="M300" i="2"/>
  <c r="M70" i="2" s="1"/>
  <c r="N70" i="2" s="1"/>
  <c r="O70" i="2" s="1"/>
  <c r="P70" i="2" s="1"/>
  <c r="Q70" i="2" s="1"/>
  <c r="R70" i="2" s="1"/>
  <c r="S70" i="2" s="1"/>
  <c r="M340" i="2"/>
  <c r="T303" i="2"/>
  <c r="Q333" i="2"/>
  <c r="T336" i="2"/>
  <c r="AG293" i="2"/>
  <c r="T299" i="2"/>
  <c r="AG299" i="2"/>
  <c r="AG302" i="2"/>
  <c r="T297" i="2"/>
  <c r="M291" i="2"/>
  <c r="M72" i="2" s="1"/>
  <c r="N72" i="2" s="1"/>
  <c r="O72" i="2" s="1"/>
  <c r="P72" i="2" s="1"/>
  <c r="Q72" i="2" s="1"/>
  <c r="R72" i="2" s="1"/>
  <c r="S72" i="2" s="1"/>
  <c r="AG292" i="2"/>
  <c r="M353" i="2"/>
  <c r="M355" i="2"/>
  <c r="M107" i="2" s="1"/>
  <c r="N107" i="2" s="1"/>
  <c r="O107" i="2" s="1"/>
  <c r="P107" i="2" s="1"/>
  <c r="Q107" i="2" s="1"/>
  <c r="R107" i="2" s="1"/>
  <c r="T306" i="2"/>
  <c r="J287" i="2"/>
  <c r="J86" i="2" s="1"/>
  <c r="K86" i="2" s="1"/>
  <c r="L86" i="2" s="1"/>
  <c r="AG291" i="2"/>
  <c r="C84" i="12"/>
  <c r="C93" i="12" s="1"/>
  <c r="C96" i="12" s="1"/>
  <c r="C98" i="12" s="1"/>
  <c r="C152" i="12" s="1"/>
  <c r="AG301" i="2"/>
  <c r="M294" i="2"/>
  <c r="M80" i="2" s="1"/>
  <c r="N80" i="2" s="1"/>
  <c r="O80" i="2" s="1"/>
  <c r="P80" i="2" s="1"/>
  <c r="Q80" i="2" s="1"/>
  <c r="R80" i="2" s="1"/>
  <c r="T304" i="2"/>
  <c r="M345" i="2"/>
  <c r="M119" i="2" s="1"/>
  <c r="N119" i="2" s="1"/>
  <c r="O119" i="2" s="1"/>
  <c r="P119" i="2" s="1"/>
  <c r="Q119" i="2" s="1"/>
  <c r="R119" i="2" s="1"/>
  <c r="T284" i="2"/>
  <c r="AG344" i="2"/>
  <c r="AG335" i="2"/>
  <c r="J337" i="2"/>
  <c r="Q282" i="2"/>
  <c r="E101" i="12"/>
  <c r="E73" i="12"/>
  <c r="M290" i="2"/>
  <c r="M45" i="2" s="1"/>
  <c r="N45" i="2" s="1"/>
  <c r="O45" i="2" s="1"/>
  <c r="P45" i="2" s="1"/>
  <c r="Q45" i="2" s="1"/>
  <c r="R45" i="2" s="1"/>
  <c r="AG296" i="2"/>
  <c r="AG285" i="2"/>
  <c r="M344" i="2"/>
  <c r="T338" i="2"/>
  <c r="T346" i="2"/>
  <c r="J42" i="2"/>
  <c r="K42" i="2" s="1"/>
  <c r="L42" i="2" s="1"/>
  <c r="M343" i="2"/>
  <c r="T335" i="2"/>
  <c r="J63" i="2"/>
  <c r="K63" i="2" s="1"/>
  <c r="L63" i="2" s="1"/>
  <c r="AG283" i="2"/>
  <c r="M296" i="2"/>
  <c r="M50" i="2" s="1"/>
  <c r="N50" i="2" s="1"/>
  <c r="O50" i="2" s="1"/>
  <c r="P50" i="2" s="1"/>
  <c r="Q50" i="2" s="1"/>
  <c r="R50" i="2" s="1"/>
  <c r="S50" i="2" s="1"/>
  <c r="M288" i="2"/>
  <c r="M68" i="2" s="1"/>
  <c r="N68" i="2" s="1"/>
  <c r="O68" i="2" s="1"/>
  <c r="P68" i="2" s="1"/>
  <c r="Q68" i="2" s="1"/>
  <c r="R68" i="2" s="1"/>
  <c r="AQ68" i="2" s="1"/>
  <c r="M301" i="2"/>
  <c r="AG304" i="2"/>
  <c r="AG350" i="2"/>
  <c r="M338" i="2"/>
  <c r="T334" i="2"/>
  <c r="AG303" i="2"/>
  <c r="AG345" i="2"/>
  <c r="AD337" i="2"/>
  <c r="T345" i="2"/>
  <c r="AG355" i="2"/>
  <c r="J333" i="2"/>
  <c r="J140" i="2" s="1"/>
  <c r="K140" i="2" s="1"/>
  <c r="L140" i="2" s="1"/>
  <c r="AG289" i="2"/>
  <c r="M285" i="2"/>
  <c r="M284" i="2"/>
  <c r="M29" i="2" s="1"/>
  <c r="N29" i="2" s="1"/>
  <c r="O29" i="2" s="1"/>
  <c r="P29" i="2" s="1"/>
  <c r="Q29" i="2" s="1"/>
  <c r="R29" i="2" s="1"/>
  <c r="AQ29" i="2" s="1"/>
  <c r="T298" i="2"/>
  <c r="T311" i="2"/>
  <c r="AG347" i="2"/>
  <c r="AG310" i="2"/>
  <c r="M351" i="2"/>
  <c r="M339" i="2"/>
  <c r="Z189" i="2"/>
  <c r="W239" i="2"/>
  <c r="W442" i="2" s="1"/>
  <c r="W400" i="2"/>
  <c r="W261" i="2"/>
  <c r="Z211" i="2"/>
  <c r="Z204" i="2"/>
  <c r="W254" i="2"/>
  <c r="W457" i="2" s="1"/>
  <c r="W415" i="2"/>
  <c r="W416" i="2"/>
  <c r="W255" i="2"/>
  <c r="W458" i="2" s="1"/>
  <c r="Z205" i="2"/>
  <c r="AJ395" i="2"/>
  <c r="AM184" i="2"/>
  <c r="AJ234" i="2"/>
  <c r="AJ437" i="2" s="1"/>
  <c r="AM206" i="2"/>
  <c r="AJ417" i="2"/>
  <c r="AJ256" i="2"/>
  <c r="AJ459" i="2" s="1"/>
  <c r="AJ246" i="2"/>
  <c r="AJ407" i="2"/>
  <c r="AM196" i="2"/>
  <c r="W242" i="2"/>
  <c r="W445" i="2" s="1"/>
  <c r="W403" i="2"/>
  <c r="Z192" i="2"/>
  <c r="W412" i="2"/>
  <c r="Z201" i="2"/>
  <c r="W251" i="2"/>
  <c r="W454" i="2" s="1"/>
  <c r="AJ413" i="2"/>
  <c r="AJ252" i="2"/>
  <c r="AM202" i="2"/>
  <c r="AM211" i="2"/>
  <c r="AJ261" i="2"/>
  <c r="AM177" i="2"/>
  <c r="AJ388" i="2"/>
  <c r="AJ227" i="2"/>
  <c r="AJ430" i="2" s="1"/>
  <c r="M336" i="2"/>
  <c r="AJ221" i="2"/>
  <c r="AG364" i="2"/>
  <c r="AG322" i="2"/>
  <c r="W409" i="2"/>
  <c r="W248" i="2"/>
  <c r="Z198" i="2"/>
  <c r="Z197" i="2"/>
  <c r="W408" i="2"/>
  <c r="W247" i="2"/>
  <c r="W450" i="2" s="1"/>
  <c r="AD332" i="2"/>
  <c r="W177" i="2"/>
  <c r="T388" i="2"/>
  <c r="T227" i="2"/>
  <c r="T430" i="2" s="1"/>
  <c r="T351" i="2"/>
  <c r="AG346" i="2"/>
  <c r="AJ241" i="2"/>
  <c r="AJ444" i="2" s="1"/>
  <c r="AM191" i="2"/>
  <c r="AJ402" i="2"/>
  <c r="T339" i="2"/>
  <c r="W230" i="2"/>
  <c r="W433" i="2" s="1"/>
  <c r="Z180" i="2"/>
  <c r="W391" i="2"/>
  <c r="D134" i="12"/>
  <c r="D74" i="12"/>
  <c r="D75" i="12" s="1"/>
  <c r="D77" i="12" s="1"/>
  <c r="D79" i="12" s="1"/>
  <c r="D82" i="12" s="1"/>
  <c r="D133" i="12" s="1"/>
  <c r="D152" i="12"/>
  <c r="AJ181" i="2"/>
  <c r="AG392" i="2"/>
  <c r="AG231" i="2"/>
  <c r="AG434" i="2" s="1"/>
  <c r="T258" i="2"/>
  <c r="W208" i="2"/>
  <c r="T349" i="2"/>
  <c r="W405" i="2"/>
  <c r="Z194" i="2"/>
  <c r="W244" i="2"/>
  <c r="W447" i="2" s="1"/>
  <c r="W300" i="2"/>
  <c r="AJ400" i="2"/>
  <c r="AM189" i="2"/>
  <c r="AJ239" i="2"/>
  <c r="AG290" i="2"/>
  <c r="T343" i="2"/>
  <c r="AJ251" i="2"/>
  <c r="AJ454" i="2" s="1"/>
  <c r="AM201" i="2"/>
  <c r="AJ412" i="2"/>
  <c r="Z193" i="2"/>
  <c r="W404" i="2"/>
  <c r="W243" i="2"/>
  <c r="W446" i="2" s="1"/>
  <c r="M348" i="2"/>
  <c r="M106" i="2" s="1"/>
  <c r="N106" i="2" s="1"/>
  <c r="O106" i="2" s="1"/>
  <c r="P106" i="2" s="1"/>
  <c r="Q106" i="2" s="1"/>
  <c r="R106" i="2" s="1"/>
  <c r="AJ233" i="2"/>
  <c r="AM183" i="2"/>
  <c r="AJ394" i="2"/>
  <c r="AM200" i="2"/>
  <c r="AJ250" i="2"/>
  <c r="AJ453" i="2" s="1"/>
  <c r="AJ411" i="2"/>
  <c r="T340" i="2"/>
  <c r="T314" i="2"/>
  <c r="AM203" i="2"/>
  <c r="AJ253" i="2"/>
  <c r="AJ456" i="2" s="1"/>
  <c r="AJ414" i="2"/>
  <c r="T341" i="2"/>
  <c r="T361" i="2"/>
  <c r="W213" i="2"/>
  <c r="T424" i="2"/>
  <c r="T318" i="2"/>
  <c r="W390" i="2"/>
  <c r="Z179" i="2"/>
  <c r="W229" i="2"/>
  <c r="W432" i="2" s="1"/>
  <c r="AG320" i="2"/>
  <c r="AG466" i="2"/>
  <c r="AJ263" i="2"/>
  <c r="AG363" i="2"/>
  <c r="J429" i="2"/>
  <c r="J264" i="2"/>
  <c r="J266" i="2" s="1"/>
  <c r="J269" i="2" s="1"/>
  <c r="J216" i="2" s="1"/>
  <c r="J217" i="2" s="1"/>
  <c r="J219" i="2" s="1"/>
  <c r="J224" i="2" s="1"/>
  <c r="AJ409" i="2"/>
  <c r="AM198" i="2"/>
  <c r="AJ248" i="2"/>
  <c r="AJ451" i="2" s="1"/>
  <c r="AM195" i="2"/>
  <c r="AJ406" i="2"/>
  <c r="AJ245" i="2"/>
  <c r="AJ448" i="2" s="1"/>
  <c r="M258" i="2"/>
  <c r="Z190" i="2"/>
  <c r="W401" i="2"/>
  <c r="W240" i="2"/>
  <c r="AJ238" i="2"/>
  <c r="AJ441" i="2" s="1"/>
  <c r="AJ399" i="2"/>
  <c r="AM188" i="2"/>
  <c r="AM192" i="2"/>
  <c r="AJ403" i="2"/>
  <c r="AJ242" i="2"/>
  <c r="AJ445" i="2" s="1"/>
  <c r="Z203" i="2"/>
  <c r="W253" i="2"/>
  <c r="W456" i="2" s="1"/>
  <c r="W414" i="2"/>
  <c r="J282" i="2"/>
  <c r="T392" i="2"/>
  <c r="W181" i="2"/>
  <c r="T231" i="2"/>
  <c r="W399" i="2"/>
  <c r="Z188" i="2"/>
  <c r="W238" i="2"/>
  <c r="W441" i="2" s="1"/>
  <c r="M350" i="2"/>
  <c r="AJ199" i="2"/>
  <c r="AG249" i="2"/>
  <c r="J332" i="2"/>
  <c r="T344" i="2"/>
  <c r="AG314" i="2"/>
  <c r="Q337" i="2"/>
  <c r="AJ228" i="2"/>
  <c r="AJ389" i="2"/>
  <c r="AM178" i="2"/>
  <c r="AG300" i="2"/>
  <c r="M349" i="2"/>
  <c r="M286" i="2"/>
  <c r="T353" i="2"/>
  <c r="T352" i="2"/>
  <c r="AG226" i="2"/>
  <c r="AG332" i="2" s="1"/>
  <c r="AJ176" i="2"/>
  <c r="AG215" i="2"/>
  <c r="AG387" i="2"/>
  <c r="Q283" i="2"/>
  <c r="M320" i="2"/>
  <c r="M88" i="2" s="1"/>
  <c r="N88" i="2" s="1"/>
  <c r="O88" i="2" s="1"/>
  <c r="P88" i="2" s="1"/>
  <c r="Q88" i="2" s="1"/>
  <c r="R88" i="2" s="1"/>
  <c r="M466" i="2"/>
  <c r="M363" i="2"/>
  <c r="M144" i="2" s="1"/>
  <c r="N144" i="2" s="1"/>
  <c r="O144" i="2" s="1"/>
  <c r="P144" i="2" s="1"/>
  <c r="Q144" i="2" s="1"/>
  <c r="R144" i="2" s="1"/>
  <c r="Q143" i="2"/>
  <c r="R143" i="2" s="1"/>
  <c r="T294" i="2"/>
  <c r="W221" i="2"/>
  <c r="T364" i="2"/>
  <c r="T322" i="2"/>
  <c r="W246" i="2"/>
  <c r="Z196" i="2"/>
  <c r="W407" i="2"/>
  <c r="AG288" i="2"/>
  <c r="M292" i="2"/>
  <c r="M79" i="2" s="1"/>
  <c r="N79" i="2" s="1"/>
  <c r="O79" i="2" s="1"/>
  <c r="P79" i="2" s="1"/>
  <c r="Q79" i="2" s="1"/>
  <c r="R79" i="2" s="1"/>
  <c r="AG297" i="2"/>
  <c r="Z210" i="2"/>
  <c r="W260" i="2"/>
  <c r="W233" i="2"/>
  <c r="W436" i="2" s="1"/>
  <c r="Z183" i="2"/>
  <c r="W394" i="2"/>
  <c r="AJ247" i="2"/>
  <c r="AM197" i="2"/>
  <c r="AJ408" i="2"/>
  <c r="W199" i="2"/>
  <c r="T249" i="2"/>
  <c r="T286" i="2"/>
  <c r="AD287" i="2"/>
  <c r="M310" i="2"/>
  <c r="M307" i="2"/>
  <c r="M33" i="2" s="1"/>
  <c r="N33" i="2" s="1"/>
  <c r="O33" i="2" s="1"/>
  <c r="P33" i="2" s="1"/>
  <c r="Q33" i="2" s="1"/>
  <c r="R33" i="2" s="1"/>
  <c r="AJ260" i="2"/>
  <c r="AM210" i="2"/>
  <c r="M341" i="2"/>
  <c r="T300" i="2"/>
  <c r="AG295" i="2"/>
  <c r="AJ390" i="2"/>
  <c r="AJ229" i="2"/>
  <c r="AJ432" i="2" s="1"/>
  <c r="AM179" i="2"/>
  <c r="AJ398" i="2"/>
  <c r="AM187" i="2"/>
  <c r="AJ237" i="2"/>
  <c r="AJ440" i="2" s="1"/>
  <c r="M295" i="2"/>
  <c r="M57" i="2" s="1"/>
  <c r="N57" i="2" s="1"/>
  <c r="O57" i="2" s="1"/>
  <c r="P57" i="2" s="1"/>
  <c r="Q57" i="2" s="1"/>
  <c r="R57" i="2" s="1"/>
  <c r="W237" i="2"/>
  <c r="W440" i="2" s="1"/>
  <c r="Z187" i="2"/>
  <c r="W398" i="2"/>
  <c r="T348" i="2"/>
  <c r="AG348" i="2"/>
  <c r="M311" i="2"/>
  <c r="J283" i="2"/>
  <c r="M299" i="2"/>
  <c r="M31" i="2" s="1"/>
  <c r="N31" i="2" s="1"/>
  <c r="O31" i="2" s="1"/>
  <c r="P31" i="2" s="1"/>
  <c r="Q31" i="2" s="1"/>
  <c r="R31" i="2" s="1"/>
  <c r="AG339" i="2"/>
  <c r="W232" i="2"/>
  <c r="W435" i="2" s="1"/>
  <c r="Z182" i="2"/>
  <c r="W393" i="2"/>
  <c r="M309" i="2"/>
  <c r="M35" i="2" s="1"/>
  <c r="N35" i="2" s="1"/>
  <c r="O35" i="2" s="1"/>
  <c r="P35" i="2" s="1"/>
  <c r="Q35" i="2" s="1"/>
  <c r="R35" i="2" s="1"/>
  <c r="AJ236" i="2"/>
  <c r="AJ439" i="2" s="1"/>
  <c r="AJ397" i="2"/>
  <c r="AM186" i="2"/>
  <c r="M335" i="2"/>
  <c r="M129" i="2" s="1"/>
  <c r="N129" i="2" s="1"/>
  <c r="O129" i="2" s="1"/>
  <c r="P129" i="2" s="1"/>
  <c r="Q129" i="2" s="1"/>
  <c r="R129" i="2" s="1"/>
  <c r="T347" i="2"/>
  <c r="AG306" i="2"/>
  <c r="M304" i="2"/>
  <c r="T290" i="2"/>
  <c r="T355" i="2"/>
  <c r="W417" i="2"/>
  <c r="Z206" i="2"/>
  <c r="W256" i="2"/>
  <c r="W459" i="2" s="1"/>
  <c r="W420" i="2"/>
  <c r="Z209" i="2"/>
  <c r="W259" i="2"/>
  <c r="W462" i="2" s="1"/>
  <c r="AJ416" i="2"/>
  <c r="AM205" i="2"/>
  <c r="AJ255" i="2"/>
  <c r="AJ458" i="2" s="1"/>
  <c r="AG307" i="2"/>
  <c r="AG308" i="2"/>
  <c r="Z212" i="2"/>
  <c r="W262" i="2"/>
  <c r="AG341" i="2"/>
  <c r="T350" i="2"/>
  <c r="M293" i="2"/>
  <c r="M73" i="2" s="1"/>
  <c r="N73" i="2" s="1"/>
  <c r="O73" i="2" s="1"/>
  <c r="P73" i="2" s="1"/>
  <c r="Q73" i="2" s="1"/>
  <c r="R73" i="2" s="1"/>
  <c r="Q264" i="2"/>
  <c r="Q266" i="2" s="1"/>
  <c r="Q269" i="2" s="1"/>
  <c r="Q216" i="2" s="1"/>
  <c r="Q217" i="2" s="1"/>
  <c r="Q219" i="2" s="1"/>
  <c r="Q224" i="2" s="1"/>
  <c r="Q429" i="2"/>
  <c r="T292" i="2"/>
  <c r="M249" i="2"/>
  <c r="M352" i="2"/>
  <c r="M141" i="2" s="1"/>
  <c r="N141" i="2" s="1"/>
  <c r="O141" i="2" s="1"/>
  <c r="P141" i="2" s="1"/>
  <c r="Q141" i="2" s="1"/>
  <c r="R141" i="2" s="1"/>
  <c r="M289" i="2"/>
  <c r="M67" i="2" s="1"/>
  <c r="N67" i="2" s="1"/>
  <c r="O67" i="2" s="1"/>
  <c r="P67" i="2" s="1"/>
  <c r="Q67" i="2" s="1"/>
  <c r="R67" i="2" s="1"/>
  <c r="AJ405" i="2"/>
  <c r="AM194" i="2"/>
  <c r="AJ244" i="2"/>
  <c r="T320" i="2"/>
  <c r="W263" i="2"/>
  <c r="T363" i="2"/>
  <c r="T466" i="2"/>
  <c r="AD264" i="2"/>
  <c r="AD266" i="2" s="1"/>
  <c r="AD269" i="2" s="1"/>
  <c r="AD216" i="2" s="1"/>
  <c r="AD217" i="2" s="1"/>
  <c r="AD219" i="2" s="1"/>
  <c r="AD224" i="2" s="1"/>
  <c r="AD429" i="2"/>
  <c r="AJ232" i="2"/>
  <c r="AJ435" i="2" s="1"/>
  <c r="AJ393" i="2"/>
  <c r="AM182" i="2"/>
  <c r="AM204" i="2"/>
  <c r="AJ415" i="2"/>
  <c r="AJ254" i="2"/>
  <c r="AJ457" i="2" s="1"/>
  <c r="AM185" i="2"/>
  <c r="AJ396" i="2"/>
  <c r="AJ235" i="2"/>
  <c r="AJ438" i="2" s="1"/>
  <c r="W406" i="2"/>
  <c r="Z195" i="2"/>
  <c r="W245" i="2"/>
  <c r="W448" i="2" s="1"/>
  <c r="Z186" i="2"/>
  <c r="W236" i="2"/>
  <c r="W292" i="2" s="1"/>
  <c r="W397" i="2"/>
  <c r="Z202" i="2"/>
  <c r="W413" i="2"/>
  <c r="W252" i="2"/>
  <c r="W455" i="2" s="1"/>
  <c r="M215" i="2"/>
  <c r="M387" i="2"/>
  <c r="M226" i="2"/>
  <c r="M332" i="2" s="1"/>
  <c r="AJ259" i="2"/>
  <c r="AJ462" i="2" s="1"/>
  <c r="AM209" i="2"/>
  <c r="AJ420" i="2"/>
  <c r="AG353" i="2"/>
  <c r="M314" i="2"/>
  <c r="M89" i="2" s="1"/>
  <c r="N89" i="2" s="1"/>
  <c r="O89" i="2" s="1"/>
  <c r="P89" i="2" s="1"/>
  <c r="Q89" i="2" s="1"/>
  <c r="R89" i="2" s="1"/>
  <c r="AG284" i="2"/>
  <c r="AM212" i="2"/>
  <c r="AJ262" i="2"/>
  <c r="C117" i="12"/>
  <c r="C119" i="12" s="1"/>
  <c r="C121" i="12" s="1"/>
  <c r="T302" i="2"/>
  <c r="M342" i="2"/>
  <c r="AG309" i="2"/>
  <c r="W228" i="2"/>
  <c r="W431" i="2" s="1"/>
  <c r="Z178" i="2"/>
  <c r="W389" i="2"/>
  <c r="T310" i="2"/>
  <c r="T289" i="2"/>
  <c r="AG352" i="2"/>
  <c r="AJ240" i="2"/>
  <c r="AJ401" i="2"/>
  <c r="AM190" i="2"/>
  <c r="Z200" i="2"/>
  <c r="W411" i="2"/>
  <c r="W250" i="2"/>
  <c r="W453" i="2" s="1"/>
  <c r="T296" i="2"/>
  <c r="AG340" i="2"/>
  <c r="AM180" i="2"/>
  <c r="AJ391" i="2"/>
  <c r="AJ230" i="2"/>
  <c r="AG343" i="2"/>
  <c r="M231" i="2"/>
  <c r="M434" i="2" s="1"/>
  <c r="M392" i="2"/>
  <c r="AG311" i="2"/>
  <c r="T293" i="2"/>
  <c r="M64" i="2"/>
  <c r="N64" i="2" s="1"/>
  <c r="O64" i="2" s="1"/>
  <c r="P64" i="2" s="1"/>
  <c r="Q64" i="2" s="1"/>
  <c r="R64" i="2" s="1"/>
  <c r="AJ404" i="2"/>
  <c r="AM193" i="2"/>
  <c r="AJ243" i="2"/>
  <c r="AJ446" i="2" s="1"/>
  <c r="M227" i="2"/>
  <c r="M388" i="2"/>
  <c r="T288" i="2"/>
  <c r="AG342" i="2"/>
  <c r="Z191" i="2"/>
  <c r="W402" i="2"/>
  <c r="W241" i="2"/>
  <c r="W444" i="2" s="1"/>
  <c r="Z184" i="2"/>
  <c r="W395" i="2"/>
  <c r="W234" i="2"/>
  <c r="W340" i="2" s="1"/>
  <c r="AG298" i="2"/>
  <c r="M347" i="2"/>
  <c r="T291" i="2"/>
  <c r="W396" i="2"/>
  <c r="W235" i="2"/>
  <c r="Z185" i="2"/>
  <c r="AG318" i="2"/>
  <c r="AG424" i="2"/>
  <c r="AG361" i="2"/>
  <c r="AJ213" i="2"/>
  <c r="T301" i="2"/>
  <c r="AG258" i="2"/>
  <c r="AJ208" i="2"/>
  <c r="T308" i="2"/>
  <c r="M306" i="2"/>
  <c r="M32" i="2" s="1"/>
  <c r="N32" i="2" s="1"/>
  <c r="O32" i="2" s="1"/>
  <c r="P32" i="2" s="1"/>
  <c r="Q32" i="2" s="1"/>
  <c r="R32" i="2" s="1"/>
  <c r="W176" i="2"/>
  <c r="T387" i="2"/>
  <c r="T215" i="2"/>
  <c r="T226" i="2"/>
  <c r="T282" i="2" s="1"/>
  <c r="T342" i="2"/>
  <c r="M303" i="2"/>
  <c r="M81" i="2" s="1"/>
  <c r="N81" i="2" s="1"/>
  <c r="O81" i="2" s="1"/>
  <c r="P81" i="2" s="1"/>
  <c r="Q81" i="2" s="1"/>
  <c r="R81" i="2" s="1"/>
  <c r="T285" i="2"/>
  <c r="F7" i="15" l="1"/>
  <c r="Z71" i="2"/>
  <c r="AA71" i="2" s="1"/>
  <c r="AB71" i="2" s="1"/>
  <c r="AC71" i="2" s="1"/>
  <c r="AD71" i="2" s="1"/>
  <c r="AE71" i="2" s="1"/>
  <c r="AA316" i="2"/>
  <c r="T316" i="2" s="1"/>
  <c r="M133" i="2"/>
  <c r="N133" i="2" s="1"/>
  <c r="O133" i="2" s="1"/>
  <c r="P133" i="2" s="1"/>
  <c r="Q133" i="2" s="1"/>
  <c r="R133" i="2" s="1"/>
  <c r="S133" i="2" s="1"/>
  <c r="T133" i="2" s="1"/>
  <c r="U133" i="2" s="1"/>
  <c r="V133" i="2" s="1"/>
  <c r="O135" i="2"/>
  <c r="M28" i="2"/>
  <c r="N28" i="2" s="1"/>
  <c r="O28" i="2" s="1"/>
  <c r="P28" i="2" s="1"/>
  <c r="Q28" i="2" s="1"/>
  <c r="R28" i="2" s="1"/>
  <c r="S28" i="2" s="1"/>
  <c r="T28" i="2" s="1"/>
  <c r="U28" i="2" s="1"/>
  <c r="V28" i="2" s="1"/>
  <c r="M132" i="2"/>
  <c r="N132" i="2" s="1"/>
  <c r="O132" i="2" s="1"/>
  <c r="P132" i="2" s="1"/>
  <c r="Q132" i="2" s="1"/>
  <c r="R132" i="2" s="1"/>
  <c r="AQ132" i="2" s="1"/>
  <c r="AQ71" i="2"/>
  <c r="M123" i="2"/>
  <c r="N123" i="2" s="1"/>
  <c r="O123" i="2" s="1"/>
  <c r="P123" i="2" s="1"/>
  <c r="Q123" i="2" s="1"/>
  <c r="R123" i="2" s="1"/>
  <c r="AQ123" i="2" s="1"/>
  <c r="AM323" i="2"/>
  <c r="AM327" i="2" s="1"/>
  <c r="P135" i="2"/>
  <c r="Q135" i="2" s="1"/>
  <c r="R135" i="2" s="1"/>
  <c r="S135" i="2" s="1"/>
  <c r="T135" i="2" s="1"/>
  <c r="U135" i="2" s="1"/>
  <c r="V135" i="2" s="1"/>
  <c r="AE317" i="2"/>
  <c r="AF317" i="2"/>
  <c r="AL317" i="2"/>
  <c r="AN465" i="2"/>
  <c r="AN360" i="2"/>
  <c r="AJ360" i="2" s="1"/>
  <c r="AH317" i="2"/>
  <c r="AB317" i="2"/>
  <c r="AK317" i="2"/>
  <c r="AC317" i="2"/>
  <c r="AN423" i="2"/>
  <c r="AM423" i="2" s="1"/>
  <c r="AI317" i="2"/>
  <c r="AD317" i="2"/>
  <c r="AC316" i="2"/>
  <c r="AN359" i="2"/>
  <c r="AJ359" i="2" s="1"/>
  <c r="AF316" i="2"/>
  <c r="AK316" i="2"/>
  <c r="AE316" i="2"/>
  <c r="AB316" i="2"/>
  <c r="AN464" i="2"/>
  <c r="AL316" i="2"/>
  <c r="AI316" i="2"/>
  <c r="AN422" i="2"/>
  <c r="AM422" i="2" s="1"/>
  <c r="AH316" i="2"/>
  <c r="AD316" i="2"/>
  <c r="AN354" i="2"/>
  <c r="AG354" i="2" s="1"/>
  <c r="AI305" i="2"/>
  <c r="AE305" i="2"/>
  <c r="AK305" i="2"/>
  <c r="AL305" i="2"/>
  <c r="AB305" i="2"/>
  <c r="AC305" i="2"/>
  <c r="AN452" i="2"/>
  <c r="AD452" i="2" s="1"/>
  <c r="AF305" i="2"/>
  <c r="AN410" i="2"/>
  <c r="AJ410" i="2" s="1"/>
  <c r="AH305" i="2"/>
  <c r="AG316" i="2"/>
  <c r="AQ122" i="2"/>
  <c r="S122" i="2"/>
  <c r="T122" i="2" s="1"/>
  <c r="U122" i="2" s="1"/>
  <c r="V122" i="2" s="1"/>
  <c r="W122" i="2" s="1"/>
  <c r="X122" i="2" s="1"/>
  <c r="Y122" i="2" s="1"/>
  <c r="C7" i="15"/>
  <c r="N313" i="2"/>
  <c r="M313" i="2" s="1"/>
  <c r="N305" i="2"/>
  <c r="M305" i="2" s="1"/>
  <c r="C13" i="15"/>
  <c r="AD305" i="2"/>
  <c r="AK315" i="2"/>
  <c r="AL315" i="2"/>
  <c r="AH315" i="2"/>
  <c r="AE315" i="2"/>
  <c r="AN421" i="2"/>
  <c r="AN358" i="2"/>
  <c r="AJ358" i="2" s="1"/>
  <c r="AN463" i="2"/>
  <c r="AC315" i="2"/>
  <c r="AI315" i="2"/>
  <c r="AB315" i="2"/>
  <c r="AF315" i="2"/>
  <c r="AD315" i="2"/>
  <c r="V317" i="2"/>
  <c r="AA557" i="2"/>
  <c r="S317" i="2"/>
  <c r="O317" i="2"/>
  <c r="P317" i="2"/>
  <c r="U317" i="2"/>
  <c r="AA360" i="2"/>
  <c r="W360" i="2" s="1"/>
  <c r="Y317" i="2"/>
  <c r="AA513" i="2"/>
  <c r="Z423" i="2" s="1"/>
  <c r="X317" i="2"/>
  <c r="R317" i="2"/>
  <c r="Q317" i="2"/>
  <c r="AA555" i="2"/>
  <c r="W463" i="2" s="1"/>
  <c r="P315" i="2"/>
  <c r="S315" i="2"/>
  <c r="Y315" i="2"/>
  <c r="X315" i="2"/>
  <c r="V315" i="2"/>
  <c r="AA358" i="2"/>
  <c r="W358" i="2" s="1"/>
  <c r="AA511" i="2"/>
  <c r="Z421" i="2" s="1"/>
  <c r="R315" i="2"/>
  <c r="O315" i="2"/>
  <c r="U315" i="2"/>
  <c r="Q315" i="2"/>
  <c r="C14" i="15"/>
  <c r="N317" i="2"/>
  <c r="AA359" i="2"/>
  <c r="W359" i="2" s="1"/>
  <c r="AA556" i="2"/>
  <c r="W464" i="2" s="1"/>
  <c r="Y316" i="2"/>
  <c r="O316" i="2"/>
  <c r="R316" i="2"/>
  <c r="X316" i="2"/>
  <c r="U316" i="2"/>
  <c r="V316" i="2"/>
  <c r="P316" i="2"/>
  <c r="AA512" i="2"/>
  <c r="Z422" i="2" s="1"/>
  <c r="S316" i="2"/>
  <c r="Q316" i="2"/>
  <c r="AB313" i="2"/>
  <c r="AH313" i="2"/>
  <c r="AK313" i="2"/>
  <c r="AN461" i="2"/>
  <c r="AD461" i="2" s="1"/>
  <c r="AL313" i="2"/>
  <c r="AF313" i="2"/>
  <c r="AN419" i="2"/>
  <c r="AE313" i="2"/>
  <c r="AN357" i="2"/>
  <c r="AG357" i="2" s="1"/>
  <c r="AC313" i="2"/>
  <c r="AI313" i="2"/>
  <c r="C29" i="14"/>
  <c r="N25" i="18"/>
  <c r="P305" i="2"/>
  <c r="O305" i="2"/>
  <c r="AA544" i="2"/>
  <c r="Q452" i="2" s="1"/>
  <c r="U305" i="2"/>
  <c r="Y305" i="2"/>
  <c r="X305" i="2"/>
  <c r="AA500" i="2"/>
  <c r="W410" i="2" s="1"/>
  <c r="AA354" i="2"/>
  <c r="T354" i="2" s="1"/>
  <c r="V305" i="2"/>
  <c r="R305" i="2"/>
  <c r="S305" i="2"/>
  <c r="C5" i="15"/>
  <c r="N315" i="2"/>
  <c r="J104" i="2"/>
  <c r="K104" i="2" s="1"/>
  <c r="L104" i="2" s="1"/>
  <c r="M104" i="2" s="1"/>
  <c r="AG317" i="2"/>
  <c r="O313" i="2"/>
  <c r="P313" i="2"/>
  <c r="AA509" i="2"/>
  <c r="W419" i="2" s="1"/>
  <c r="Y313" i="2"/>
  <c r="AA357" i="2"/>
  <c r="T357" i="2" s="1"/>
  <c r="U313" i="2"/>
  <c r="S313" i="2"/>
  <c r="AA553" i="2"/>
  <c r="Q461" i="2" s="1"/>
  <c r="V313" i="2"/>
  <c r="R313" i="2"/>
  <c r="X313" i="2"/>
  <c r="D22" i="14"/>
  <c r="C23" i="14"/>
  <c r="C24" i="14" s="1"/>
  <c r="N316" i="2"/>
  <c r="C8" i="15"/>
  <c r="W162" i="2"/>
  <c r="X162" i="2" s="1"/>
  <c r="W53" i="2"/>
  <c r="X53" i="2" s="1"/>
  <c r="Y53" i="2" s="1"/>
  <c r="S52" i="2"/>
  <c r="T52" i="2" s="1"/>
  <c r="U52" i="2" s="1"/>
  <c r="V52" i="2" s="1"/>
  <c r="AQ52" i="2"/>
  <c r="K168" i="2"/>
  <c r="J169" i="2"/>
  <c r="J22" i="2" s="1"/>
  <c r="K163" i="2"/>
  <c r="J165" i="2"/>
  <c r="J21" i="2" s="1"/>
  <c r="AF109" i="2"/>
  <c r="AG109" i="2" s="1"/>
  <c r="AH109" i="2" s="1"/>
  <c r="AI109" i="2" s="1"/>
  <c r="AJ109" i="2" s="1"/>
  <c r="AK109" i="2" s="1"/>
  <c r="AL109" i="2" s="1"/>
  <c r="AM109" i="2" s="1"/>
  <c r="AN109" i="2" s="1"/>
  <c r="Z324" i="2"/>
  <c r="Z366" i="2"/>
  <c r="S121" i="2"/>
  <c r="T121" i="2" s="1"/>
  <c r="U121" i="2" s="1"/>
  <c r="V121" i="2" s="1"/>
  <c r="AQ121" i="2"/>
  <c r="AQ87" i="2"/>
  <c r="Z59" i="18"/>
  <c r="Z222" i="2"/>
  <c r="AM365" i="2"/>
  <c r="AM369" i="2" s="1"/>
  <c r="W365" i="2"/>
  <c r="W369" i="2" s="1"/>
  <c r="W323" i="2"/>
  <c r="W327" i="2" s="1"/>
  <c r="M42" i="2"/>
  <c r="N42" i="2" s="1"/>
  <c r="O42" i="2" s="1"/>
  <c r="P42" i="2" s="1"/>
  <c r="Q42" i="2" s="1"/>
  <c r="R42" i="2" s="1"/>
  <c r="S42" i="2" s="1"/>
  <c r="T42" i="2" s="1"/>
  <c r="U42" i="2" s="1"/>
  <c r="V42" i="2" s="1"/>
  <c r="M159" i="2"/>
  <c r="L20" i="2"/>
  <c r="M58" i="2"/>
  <c r="N58" i="2" s="1"/>
  <c r="O58" i="2" s="1"/>
  <c r="P58" i="2" s="1"/>
  <c r="Q58" i="2" s="1"/>
  <c r="R58" i="2" s="1"/>
  <c r="T87" i="2"/>
  <c r="U87" i="2" s="1"/>
  <c r="V87" i="2" s="1"/>
  <c r="BE164" i="2"/>
  <c r="M167" i="2"/>
  <c r="AW91" i="2"/>
  <c r="AZ91" i="2"/>
  <c r="AT91" i="2"/>
  <c r="AR91" i="2"/>
  <c r="BA91" i="2"/>
  <c r="BC91" i="2"/>
  <c r="AV91" i="2"/>
  <c r="AX91" i="2"/>
  <c r="AS91" i="2"/>
  <c r="AU91" i="2"/>
  <c r="AY91" i="2"/>
  <c r="BB91" i="2"/>
  <c r="BE54" i="2"/>
  <c r="W286" i="2"/>
  <c r="M156" i="2"/>
  <c r="L19" i="2"/>
  <c r="W309" i="2"/>
  <c r="S34" i="2"/>
  <c r="T34" i="2" s="1"/>
  <c r="U34" i="2" s="1"/>
  <c r="V34" i="2" s="1"/>
  <c r="AX37" i="2"/>
  <c r="AZ37" i="2"/>
  <c r="BB37" i="2"/>
  <c r="BA37" i="2"/>
  <c r="BC37" i="2"/>
  <c r="AS37" i="2"/>
  <c r="AR37" i="2"/>
  <c r="AY37" i="2"/>
  <c r="AU37" i="2"/>
  <c r="AV37" i="2"/>
  <c r="AT37" i="2"/>
  <c r="AW37" i="2"/>
  <c r="T333" i="2"/>
  <c r="AQ133" i="2"/>
  <c r="AZ109" i="2"/>
  <c r="AT109" i="2"/>
  <c r="BB109" i="2"/>
  <c r="AY109" i="2"/>
  <c r="BC109" i="2"/>
  <c r="AR109" i="2"/>
  <c r="AV109" i="2"/>
  <c r="AX109" i="2"/>
  <c r="BA109" i="2"/>
  <c r="AW109" i="2"/>
  <c r="AU109" i="2"/>
  <c r="AS109" i="2"/>
  <c r="C134" i="12"/>
  <c r="S45" i="2"/>
  <c r="T45" i="2" s="1"/>
  <c r="U45" i="2" s="1"/>
  <c r="V45" i="2" s="1"/>
  <c r="AQ45" i="2"/>
  <c r="S107" i="2"/>
  <c r="T107" i="2" s="1"/>
  <c r="U107" i="2" s="1"/>
  <c r="V107" i="2" s="1"/>
  <c r="AQ107" i="2"/>
  <c r="M337" i="2"/>
  <c r="D149" i="12"/>
  <c r="AQ70" i="2"/>
  <c r="AJ315" i="2"/>
  <c r="W308" i="2"/>
  <c r="AJ347" i="2"/>
  <c r="W346" i="2"/>
  <c r="W334" i="2"/>
  <c r="AJ338" i="2"/>
  <c r="C74" i="12"/>
  <c r="C75" i="12" s="1"/>
  <c r="C77" i="12" s="1"/>
  <c r="C79" i="12" s="1"/>
  <c r="C82" i="12" s="1"/>
  <c r="C133" i="12" s="1"/>
  <c r="M128" i="2"/>
  <c r="N128" i="2" s="1"/>
  <c r="O128" i="2" s="1"/>
  <c r="P128" i="2" s="1"/>
  <c r="Q128" i="2" s="1"/>
  <c r="R128" i="2" s="1"/>
  <c r="S128" i="2" s="1"/>
  <c r="T128" i="2" s="1"/>
  <c r="U128" i="2" s="1"/>
  <c r="V128" i="2" s="1"/>
  <c r="AJ306" i="2"/>
  <c r="W349" i="2"/>
  <c r="AJ283" i="2"/>
  <c r="W310" i="2"/>
  <c r="AQ72" i="2"/>
  <c r="T305" i="2"/>
  <c r="M287" i="2"/>
  <c r="M86" i="2" s="1"/>
  <c r="N86" i="2" s="1"/>
  <c r="O86" i="2" s="1"/>
  <c r="P86" i="2" s="1"/>
  <c r="Q86" i="2" s="1"/>
  <c r="R86" i="2" s="1"/>
  <c r="AQ86" i="2" s="1"/>
  <c r="AJ343" i="2"/>
  <c r="W289" i="2"/>
  <c r="AJ350" i="2"/>
  <c r="AJ353" i="2"/>
  <c r="W298" i="2"/>
  <c r="S68" i="2"/>
  <c r="T68" i="2" s="1"/>
  <c r="U68" i="2" s="1"/>
  <c r="V68" i="2" s="1"/>
  <c r="AQ50" i="2"/>
  <c r="W284" i="2"/>
  <c r="AJ317" i="2"/>
  <c r="AJ288" i="2"/>
  <c r="W338" i="2"/>
  <c r="AJ293" i="2"/>
  <c r="AJ298" i="2"/>
  <c r="AJ304" i="2"/>
  <c r="T313" i="2"/>
  <c r="AG287" i="2"/>
  <c r="AJ297" i="2"/>
  <c r="AJ333" i="2"/>
  <c r="W347" i="2"/>
  <c r="AJ285" i="2"/>
  <c r="AG282" i="2"/>
  <c r="W299" i="2"/>
  <c r="W336" i="2"/>
  <c r="AJ316" i="2"/>
  <c r="W294" i="2"/>
  <c r="W335" i="2"/>
  <c r="W355" i="2"/>
  <c r="AJ340" i="2"/>
  <c r="W451" i="2"/>
  <c r="W353" i="2"/>
  <c r="W449" i="2"/>
  <c r="W302" i="2"/>
  <c r="W443" i="2"/>
  <c r="W345" i="2"/>
  <c r="AJ442" i="2"/>
  <c r="AJ295" i="2"/>
  <c r="AJ344" i="2"/>
  <c r="AJ433" i="2"/>
  <c r="AJ336" i="2"/>
  <c r="AJ286" i="2"/>
  <c r="M430" i="2"/>
  <c r="M283" i="2"/>
  <c r="AJ443" i="2"/>
  <c r="AJ296" i="2"/>
  <c r="AJ345" i="2"/>
  <c r="AJ447" i="2"/>
  <c r="AJ300" i="2"/>
  <c r="W351" i="2"/>
  <c r="AJ436" i="2"/>
  <c r="AJ339" i="2"/>
  <c r="W437" i="2"/>
  <c r="W290" i="2"/>
  <c r="AJ431" i="2"/>
  <c r="AJ284" i="2"/>
  <c r="C149" i="12"/>
  <c r="W438" i="2"/>
  <c r="W291" i="2"/>
  <c r="W439" i="2"/>
  <c r="W342" i="2"/>
  <c r="AJ450" i="2"/>
  <c r="AJ303" i="2"/>
  <c r="T434" i="2"/>
  <c r="T337" i="2"/>
  <c r="T287" i="2"/>
  <c r="AJ455" i="2"/>
  <c r="AJ307" i="2"/>
  <c r="AJ449" i="2"/>
  <c r="AJ351" i="2"/>
  <c r="W288" i="2"/>
  <c r="W293" i="2"/>
  <c r="S29" i="2"/>
  <c r="T29" i="2" s="1"/>
  <c r="U29" i="2" s="1"/>
  <c r="V29" i="2" s="1"/>
  <c r="E117" i="12"/>
  <c r="E119" i="12" s="1"/>
  <c r="E121" i="12" s="1"/>
  <c r="AG313" i="2"/>
  <c r="W311" i="2"/>
  <c r="AJ342" i="2"/>
  <c r="W339" i="2"/>
  <c r="W315" i="2"/>
  <c r="AJ301" i="2"/>
  <c r="W285" i="2"/>
  <c r="M63" i="2"/>
  <c r="N63" i="2" s="1"/>
  <c r="O63" i="2" s="1"/>
  <c r="P63" i="2" s="1"/>
  <c r="Q63" i="2" s="1"/>
  <c r="R63" i="2" s="1"/>
  <c r="E84" i="12"/>
  <c r="E93" i="12" s="1"/>
  <c r="E96" i="12" s="1"/>
  <c r="E98" i="12" s="1"/>
  <c r="S73" i="2"/>
  <c r="T73" i="2" s="1"/>
  <c r="U73" i="2" s="1"/>
  <c r="V73" i="2" s="1"/>
  <c r="AQ73" i="2"/>
  <c r="S67" i="2"/>
  <c r="T67" i="2" s="1"/>
  <c r="U67" i="2" s="1"/>
  <c r="V67" i="2" s="1"/>
  <c r="AQ67" i="2"/>
  <c r="S32" i="2"/>
  <c r="T32" i="2" s="1"/>
  <c r="U32" i="2" s="1"/>
  <c r="V32" i="2" s="1"/>
  <c r="AQ32" i="2"/>
  <c r="AQ141" i="2"/>
  <c r="S141" i="2"/>
  <c r="T141" i="2" s="1"/>
  <c r="U141" i="2" s="1"/>
  <c r="V141" i="2" s="1"/>
  <c r="S129" i="2"/>
  <c r="T129" i="2" s="1"/>
  <c r="U129" i="2" s="1"/>
  <c r="V129" i="2" s="1"/>
  <c r="AQ129" i="2"/>
  <c r="S89" i="2"/>
  <c r="T89" i="2" s="1"/>
  <c r="U89" i="2" s="1"/>
  <c r="V89" i="2" s="1"/>
  <c r="AQ89" i="2"/>
  <c r="Z402" i="2"/>
  <c r="Z241" i="2"/>
  <c r="Z444" i="2" s="1"/>
  <c r="AQ81" i="2"/>
  <c r="S81" i="2"/>
  <c r="T81" i="2" s="1"/>
  <c r="U81" i="2" s="1"/>
  <c r="V81" i="2" s="1"/>
  <c r="T429" i="2"/>
  <c r="T264" i="2"/>
  <c r="T266" i="2" s="1"/>
  <c r="T269" i="2" s="1"/>
  <c r="T216" i="2" s="1"/>
  <c r="T217" i="2" s="1"/>
  <c r="T219" i="2" s="1"/>
  <c r="T224" i="2" s="1"/>
  <c r="T276" i="2" s="1"/>
  <c r="T277" i="2" s="1"/>
  <c r="AM208" i="2"/>
  <c r="AJ258" i="2"/>
  <c r="AJ318" i="2"/>
  <c r="AM213" i="2"/>
  <c r="AJ424" i="2"/>
  <c r="AJ361" i="2"/>
  <c r="W341" i="2"/>
  <c r="AJ348" i="2"/>
  <c r="S64" i="2"/>
  <c r="T64" i="2" s="1"/>
  <c r="U64" i="2" s="1"/>
  <c r="V64" i="2" s="1"/>
  <c r="AQ64" i="2"/>
  <c r="AM230" i="2"/>
  <c r="AM433" i="2" s="1"/>
  <c r="AM391" i="2"/>
  <c r="C128" i="12"/>
  <c r="C136" i="12" s="1"/>
  <c r="C102" i="12"/>
  <c r="C103" i="12" s="1"/>
  <c r="C105" i="12" s="1"/>
  <c r="C115" i="12" s="1"/>
  <c r="C135" i="12" s="1"/>
  <c r="AM420" i="2"/>
  <c r="AM259" i="2"/>
  <c r="M282" i="2"/>
  <c r="AJ291" i="2"/>
  <c r="AJ309" i="2"/>
  <c r="Z263" i="2"/>
  <c r="W466" i="2"/>
  <c r="W363" i="2"/>
  <c r="W320" i="2"/>
  <c r="AM405" i="2"/>
  <c r="AM244" i="2"/>
  <c r="AM447" i="2" s="1"/>
  <c r="S119" i="2"/>
  <c r="T119" i="2" s="1"/>
  <c r="U119" i="2" s="1"/>
  <c r="V119" i="2" s="1"/>
  <c r="AQ119" i="2"/>
  <c r="W317" i="2"/>
  <c r="AJ310" i="2"/>
  <c r="Z417" i="2"/>
  <c r="Z256" i="2"/>
  <c r="Z459" i="2" s="1"/>
  <c r="AM236" i="2"/>
  <c r="AM439" i="2" s="1"/>
  <c r="AM397" i="2"/>
  <c r="S57" i="2"/>
  <c r="T57" i="2" s="1"/>
  <c r="U57" i="2" s="1"/>
  <c r="V57" i="2" s="1"/>
  <c r="AQ57" i="2"/>
  <c r="AM237" i="2"/>
  <c r="AM440" i="2" s="1"/>
  <c r="AM398" i="2"/>
  <c r="Z199" i="2"/>
  <c r="W249" i="2"/>
  <c r="S79" i="2"/>
  <c r="T79" i="2" s="1"/>
  <c r="U79" i="2" s="1"/>
  <c r="V79" i="2" s="1"/>
  <c r="W79" i="2" s="1"/>
  <c r="X79" i="2" s="1"/>
  <c r="Y79" i="2" s="1"/>
  <c r="AQ79" i="2"/>
  <c r="Z246" i="2"/>
  <c r="Z449" i="2" s="1"/>
  <c r="Z407" i="2"/>
  <c r="AJ215" i="2"/>
  <c r="AJ387" i="2"/>
  <c r="AJ226" i="2"/>
  <c r="AJ332" i="2" s="1"/>
  <c r="AM176" i="2"/>
  <c r="AG305" i="2"/>
  <c r="AJ294" i="2"/>
  <c r="Z229" i="2"/>
  <c r="Z432" i="2" s="1"/>
  <c r="Z390" i="2"/>
  <c r="AJ308" i="2"/>
  <c r="AM394" i="2"/>
  <c r="AM233" i="2"/>
  <c r="AM436" i="2" s="1"/>
  <c r="W348" i="2"/>
  <c r="Z404" i="2"/>
  <c r="Z243" i="2"/>
  <c r="AJ355" i="2"/>
  <c r="Z244" i="2"/>
  <c r="Z405" i="2"/>
  <c r="AG337" i="2"/>
  <c r="AJ392" i="2"/>
  <c r="AM181" i="2"/>
  <c r="AJ231" i="2"/>
  <c r="AJ346" i="2"/>
  <c r="T283" i="2"/>
  <c r="Z177" i="2"/>
  <c r="W388" i="2"/>
  <c r="W227" i="2"/>
  <c r="W352" i="2"/>
  <c r="W304" i="2"/>
  <c r="AM261" i="2"/>
  <c r="Z403" i="2"/>
  <c r="Z242" i="2"/>
  <c r="Z445" i="2" s="1"/>
  <c r="AM246" i="2"/>
  <c r="AM449" i="2" s="1"/>
  <c r="AM407" i="2"/>
  <c r="AJ311" i="2"/>
  <c r="AJ290" i="2"/>
  <c r="Z254" i="2"/>
  <c r="Z457" i="2" s="1"/>
  <c r="Z415" i="2"/>
  <c r="Z261" i="2"/>
  <c r="W344" i="2"/>
  <c r="Z234" i="2"/>
  <c r="Z395" i="2"/>
  <c r="Z228" i="2"/>
  <c r="Z389" i="2"/>
  <c r="AM262" i="2"/>
  <c r="Z259" i="2"/>
  <c r="Z462" i="2" s="1"/>
  <c r="Z420" i="2"/>
  <c r="S35" i="2"/>
  <c r="T35" i="2" s="1"/>
  <c r="U35" i="2" s="1"/>
  <c r="V35" i="2" s="1"/>
  <c r="AQ35" i="2"/>
  <c r="Z398" i="2"/>
  <c r="Z237" i="2"/>
  <c r="Z440" i="2" s="1"/>
  <c r="AM390" i="2"/>
  <c r="AM229" i="2"/>
  <c r="AM432" i="2" s="1"/>
  <c r="S33" i="2"/>
  <c r="T33" i="2" s="1"/>
  <c r="U33" i="2" s="1"/>
  <c r="V33" i="2" s="1"/>
  <c r="AQ33" i="2"/>
  <c r="AM247" i="2"/>
  <c r="AM450" i="2" s="1"/>
  <c r="AM408" i="2"/>
  <c r="Z260" i="2"/>
  <c r="W364" i="2"/>
  <c r="Z221" i="2"/>
  <c r="W322" i="2"/>
  <c r="Z399" i="2"/>
  <c r="Z238" i="2"/>
  <c r="Z441" i="2" s="1"/>
  <c r="Z181" i="2"/>
  <c r="W392" i="2"/>
  <c r="W231" i="2"/>
  <c r="W434" i="2" s="1"/>
  <c r="Z414" i="2"/>
  <c r="Z253" i="2"/>
  <c r="Z456" i="2" s="1"/>
  <c r="AM399" i="2"/>
  <c r="AM238" i="2"/>
  <c r="Z240" i="2"/>
  <c r="Z443" i="2" s="1"/>
  <c r="Z401" i="2"/>
  <c r="AM245" i="2"/>
  <c r="AM406" i="2"/>
  <c r="AM409" i="2"/>
  <c r="AM248" i="2"/>
  <c r="AM411" i="2"/>
  <c r="AM250" i="2"/>
  <c r="AM453" i="2" s="1"/>
  <c r="AM412" i="2"/>
  <c r="AM251" i="2"/>
  <c r="AM454" i="2" s="1"/>
  <c r="AM400" i="2"/>
  <c r="AM239" i="2"/>
  <c r="AM442" i="2" s="1"/>
  <c r="Z208" i="2"/>
  <c r="W258" i="2"/>
  <c r="AM388" i="2"/>
  <c r="AM227" i="2"/>
  <c r="AM430" i="2" s="1"/>
  <c r="Z412" i="2"/>
  <c r="Z251" i="2"/>
  <c r="Z454" i="2" s="1"/>
  <c r="D128" i="12"/>
  <c r="D136" i="12" s="1"/>
  <c r="D102" i="12"/>
  <c r="D103" i="12" s="1"/>
  <c r="D105" i="12" s="1"/>
  <c r="D115" i="12" s="1"/>
  <c r="D135" i="12" s="1"/>
  <c r="Z250" i="2"/>
  <c r="Z453" i="2" s="1"/>
  <c r="Z411" i="2"/>
  <c r="M264" i="2"/>
  <c r="M266" i="2" s="1"/>
  <c r="M269" i="2" s="1"/>
  <c r="M216" i="2" s="1"/>
  <c r="M217" i="2" s="1"/>
  <c r="M219" i="2" s="1"/>
  <c r="M224" i="2" s="1"/>
  <c r="M276" i="2" s="1"/>
  <c r="M277" i="2" s="1"/>
  <c r="M429" i="2"/>
  <c r="Z406" i="2"/>
  <c r="Z245" i="2"/>
  <c r="Z448" i="2" s="1"/>
  <c r="T332" i="2"/>
  <c r="W226" i="2"/>
  <c r="W282" i="2" s="1"/>
  <c r="W215" i="2"/>
  <c r="Z176" i="2"/>
  <c r="W387" i="2"/>
  <c r="Z396" i="2"/>
  <c r="Z235" i="2"/>
  <c r="W297" i="2"/>
  <c r="M333" i="2"/>
  <c r="AM243" i="2"/>
  <c r="AM446" i="2" s="1"/>
  <c r="AM404" i="2"/>
  <c r="W306" i="2"/>
  <c r="AM401" i="2"/>
  <c r="AM240" i="2"/>
  <c r="S88" i="2"/>
  <c r="T88" i="2" s="1"/>
  <c r="U88" i="2" s="1"/>
  <c r="V88" i="2" s="1"/>
  <c r="AQ88" i="2"/>
  <c r="AD276" i="2"/>
  <c r="AD277" i="2" s="1"/>
  <c r="AJ314" i="2"/>
  <c r="Z413" i="2"/>
  <c r="Z252" i="2"/>
  <c r="Z455" i="2" s="1"/>
  <c r="W350" i="2"/>
  <c r="M27" i="2"/>
  <c r="AM232" i="2"/>
  <c r="AM338" i="2" s="1"/>
  <c r="AM393" i="2"/>
  <c r="AQ144" i="2"/>
  <c r="S144" i="2"/>
  <c r="T144" i="2" s="1"/>
  <c r="U144" i="2" s="1"/>
  <c r="V144" i="2" s="1"/>
  <c r="AJ349" i="2"/>
  <c r="AM416" i="2"/>
  <c r="AM255" i="2"/>
  <c r="AM458" i="2" s="1"/>
  <c r="Z232" i="2"/>
  <c r="Z435" i="2" s="1"/>
  <c r="Z393" i="2"/>
  <c r="AG429" i="2"/>
  <c r="AG264" i="2"/>
  <c r="AG266" i="2" s="1"/>
  <c r="AG269" i="2" s="1"/>
  <c r="AG216" i="2" s="1"/>
  <c r="AG217" i="2" s="1"/>
  <c r="AG219" i="2" s="1"/>
  <c r="AG224" i="2" s="1"/>
  <c r="AG276" i="2" s="1"/>
  <c r="AG277" i="2" s="1"/>
  <c r="AJ334" i="2"/>
  <c r="AM403" i="2"/>
  <c r="AM242" i="2"/>
  <c r="AM445" i="2" s="1"/>
  <c r="AJ363" i="2"/>
  <c r="AJ320" i="2"/>
  <c r="AJ466" i="2"/>
  <c r="AM263" i="2"/>
  <c r="Q276" i="2"/>
  <c r="Q277" i="2" s="1"/>
  <c r="AJ289" i="2"/>
  <c r="S106" i="2"/>
  <c r="T106" i="2" s="1"/>
  <c r="U106" i="2" s="1"/>
  <c r="V106" i="2" s="1"/>
  <c r="AQ106" i="2"/>
  <c r="AM402" i="2"/>
  <c r="AM241" i="2"/>
  <c r="Z409" i="2"/>
  <c r="Z248" i="2"/>
  <c r="J276" i="2"/>
  <c r="J277" i="2" s="1"/>
  <c r="T72" i="2"/>
  <c r="U72" i="2" s="1"/>
  <c r="V72" i="2" s="1"/>
  <c r="T50" i="2"/>
  <c r="U50" i="2" s="1"/>
  <c r="V50" i="2" s="1"/>
  <c r="AJ299" i="2"/>
  <c r="AQ31" i="2"/>
  <c r="S31" i="2"/>
  <c r="T31" i="2" s="1"/>
  <c r="U31" i="2" s="1"/>
  <c r="V31" i="2" s="1"/>
  <c r="W307" i="2"/>
  <c r="Z397" i="2"/>
  <c r="Z236" i="2"/>
  <c r="Z439" i="2" s="1"/>
  <c r="W301" i="2"/>
  <c r="AJ341" i="2"/>
  <c r="AM396" i="2"/>
  <c r="AM235" i="2"/>
  <c r="AM438" i="2" s="1"/>
  <c r="AM415" i="2"/>
  <c r="AM254" i="2"/>
  <c r="AM457" i="2" s="1"/>
  <c r="Z262" i="2"/>
  <c r="W314" i="2"/>
  <c r="AJ292" i="2"/>
  <c r="W343" i="2"/>
  <c r="AJ335" i="2"/>
  <c r="AM260" i="2"/>
  <c r="AJ352" i="2"/>
  <c r="Z394" i="2"/>
  <c r="Z233" i="2"/>
  <c r="Z339" i="2" s="1"/>
  <c r="AQ143" i="2"/>
  <c r="S143" i="2"/>
  <c r="T143" i="2" s="1"/>
  <c r="U143" i="2" s="1"/>
  <c r="V143" i="2" s="1"/>
  <c r="W143" i="2" s="1"/>
  <c r="AM228" i="2"/>
  <c r="AM389" i="2"/>
  <c r="AM199" i="2"/>
  <c r="AJ249" i="2"/>
  <c r="J56" i="2"/>
  <c r="W296" i="2"/>
  <c r="W361" i="2"/>
  <c r="Z213" i="2"/>
  <c r="W424" i="2"/>
  <c r="W318" i="2"/>
  <c r="AM414" i="2"/>
  <c r="AM253" i="2"/>
  <c r="AM456" i="2" s="1"/>
  <c r="Z391" i="2"/>
  <c r="Z230" i="2"/>
  <c r="Z336" i="2" s="1"/>
  <c r="W303" i="2"/>
  <c r="Z247" i="2"/>
  <c r="Z450" i="2" s="1"/>
  <c r="Z408" i="2"/>
  <c r="AJ322" i="2"/>
  <c r="AM221" i="2"/>
  <c r="AJ364" i="2"/>
  <c r="AM252" i="2"/>
  <c r="AM455" i="2" s="1"/>
  <c r="AM413" i="2"/>
  <c r="AJ302" i="2"/>
  <c r="AM417" i="2"/>
  <c r="AM256" i="2"/>
  <c r="AM459" i="2" s="1"/>
  <c r="AM395" i="2"/>
  <c r="AM234" i="2"/>
  <c r="AM437" i="2" s="1"/>
  <c r="Z416" i="2"/>
  <c r="Z255" i="2"/>
  <c r="Z458" i="2" s="1"/>
  <c r="S80" i="2"/>
  <c r="T80" i="2" s="1"/>
  <c r="U80" i="2" s="1"/>
  <c r="V80" i="2" s="1"/>
  <c r="AQ80" i="2"/>
  <c r="W316" i="2"/>
  <c r="W295" i="2"/>
  <c r="Z239" i="2"/>
  <c r="Z442" i="2" s="1"/>
  <c r="Z400" i="2"/>
  <c r="T70" i="2"/>
  <c r="U70" i="2" s="1"/>
  <c r="V70" i="2" s="1"/>
  <c r="W70" i="2" s="1"/>
  <c r="X70" i="2" s="1"/>
  <c r="Y70" i="2" s="1"/>
  <c r="AF71" i="2" l="1"/>
  <c r="AG71" i="2" s="1"/>
  <c r="AH71" i="2" s="1"/>
  <c r="AI71" i="2" s="1"/>
  <c r="AJ71" i="2" s="1"/>
  <c r="AK71" i="2" s="1"/>
  <c r="AL71" i="2" s="1"/>
  <c r="AM71" i="2" s="1"/>
  <c r="AN71" i="2" s="1"/>
  <c r="BD71" i="2"/>
  <c r="AV71" i="2" s="1"/>
  <c r="W135" i="2"/>
  <c r="X135" i="2" s="1"/>
  <c r="Y135" i="2" s="1"/>
  <c r="Z135" i="2" s="1"/>
  <c r="AA135" i="2" s="1"/>
  <c r="AB135" i="2" s="1"/>
  <c r="AC135" i="2" s="1"/>
  <c r="AD135" i="2" s="1"/>
  <c r="AE135" i="2" s="1"/>
  <c r="AQ28" i="2"/>
  <c r="S123" i="2"/>
  <c r="T123" i="2" s="1"/>
  <c r="U123" i="2" s="1"/>
  <c r="V123" i="2" s="1"/>
  <c r="W123" i="2" s="1"/>
  <c r="X123" i="2" s="1"/>
  <c r="Y123" i="2" s="1"/>
  <c r="AM465" i="2"/>
  <c r="S132" i="2"/>
  <c r="T132" i="2" s="1"/>
  <c r="U132" i="2" s="1"/>
  <c r="V132" i="2" s="1"/>
  <c r="W132" i="2" s="1"/>
  <c r="X132" i="2" s="1"/>
  <c r="Y132" i="2" s="1"/>
  <c r="Z132" i="2" s="1"/>
  <c r="AA132" i="2" s="1"/>
  <c r="AB132" i="2" s="1"/>
  <c r="AC132" i="2" s="1"/>
  <c r="AD132" i="2" s="1"/>
  <c r="AE132" i="2" s="1"/>
  <c r="AJ452" i="2"/>
  <c r="AG452" i="2"/>
  <c r="AD376" i="2"/>
  <c r="AD384" i="2" s="1"/>
  <c r="AD329" i="2"/>
  <c r="Z464" i="2"/>
  <c r="Q329" i="2"/>
  <c r="W34" i="2"/>
  <c r="X34" i="2" s="1"/>
  <c r="Y34" i="2" s="1"/>
  <c r="AM463" i="2"/>
  <c r="AJ461" i="2"/>
  <c r="Q376" i="2"/>
  <c r="Q384" i="2" s="1"/>
  <c r="AQ135" i="2"/>
  <c r="Z465" i="2"/>
  <c r="W452" i="2"/>
  <c r="AG461" i="2"/>
  <c r="W133" i="2"/>
  <c r="X133" i="2" s="1"/>
  <c r="Y133" i="2" s="1"/>
  <c r="W461" i="2"/>
  <c r="L315" i="2"/>
  <c r="N358" i="2"/>
  <c r="N463" i="2"/>
  <c r="H315" i="2"/>
  <c r="H43" i="2" s="1"/>
  <c r="N421" i="2"/>
  <c r="K315" i="2"/>
  <c r="I315" i="2"/>
  <c r="J315" i="2"/>
  <c r="M315" i="2"/>
  <c r="H316" i="2"/>
  <c r="H48" i="2" s="1"/>
  <c r="K316" i="2"/>
  <c r="N359" i="2"/>
  <c r="L316" i="2"/>
  <c r="N464" i="2"/>
  <c r="N422" i="2"/>
  <c r="I316" i="2"/>
  <c r="J316" i="2"/>
  <c r="M316" i="2"/>
  <c r="S376" i="2"/>
  <c r="S329" i="2"/>
  <c r="Q410" i="2"/>
  <c r="T410" i="2"/>
  <c r="AF357" i="2"/>
  <c r="AL357" i="2"/>
  <c r="AK357" i="2"/>
  <c r="AE357" i="2"/>
  <c r="AH357" i="2"/>
  <c r="AC357" i="2"/>
  <c r="AI357" i="2"/>
  <c r="AB357" i="2"/>
  <c r="AD357" i="2"/>
  <c r="U359" i="2"/>
  <c r="P359" i="2"/>
  <c r="R359" i="2"/>
  <c r="S359" i="2"/>
  <c r="Y359" i="2"/>
  <c r="V359" i="2"/>
  <c r="O359" i="2"/>
  <c r="X359" i="2"/>
  <c r="Q359" i="2"/>
  <c r="T359" i="2"/>
  <c r="Y358" i="2"/>
  <c r="X358" i="2"/>
  <c r="S358" i="2"/>
  <c r="V358" i="2"/>
  <c r="O358" i="2"/>
  <c r="U358" i="2"/>
  <c r="R358" i="2"/>
  <c r="P358" i="2"/>
  <c r="Q358" i="2"/>
  <c r="T358" i="2"/>
  <c r="S360" i="2"/>
  <c r="Y360" i="2"/>
  <c r="X360" i="2"/>
  <c r="R360" i="2"/>
  <c r="U360" i="2"/>
  <c r="P360" i="2"/>
  <c r="V360" i="2"/>
  <c r="O360" i="2"/>
  <c r="Q360" i="2"/>
  <c r="T360" i="2"/>
  <c r="AD463" i="2"/>
  <c r="AG463" i="2"/>
  <c r="N357" i="2"/>
  <c r="I313" i="2"/>
  <c r="K313" i="2"/>
  <c r="L313" i="2"/>
  <c r="N461" i="2"/>
  <c r="H313" i="2"/>
  <c r="H38" i="2" s="1"/>
  <c r="N419" i="2"/>
  <c r="J313" i="2"/>
  <c r="AF376" i="2"/>
  <c r="AF329" i="2"/>
  <c r="AL329" i="2"/>
  <c r="AL376" i="2"/>
  <c r="AB354" i="2"/>
  <c r="AH354" i="2"/>
  <c r="AI354" i="2"/>
  <c r="AE354" i="2"/>
  <c r="AF354" i="2"/>
  <c r="AK354" i="2"/>
  <c r="AC354" i="2"/>
  <c r="AL354" i="2"/>
  <c r="AD354" i="2"/>
  <c r="AL360" i="2"/>
  <c r="AK360" i="2"/>
  <c r="AF360" i="2"/>
  <c r="AB360" i="2"/>
  <c r="AE360" i="2"/>
  <c r="AH360" i="2"/>
  <c r="AC360" i="2"/>
  <c r="AI360" i="2"/>
  <c r="AD360" i="2"/>
  <c r="AG360" i="2"/>
  <c r="V376" i="2"/>
  <c r="V329" i="2"/>
  <c r="P376" i="2"/>
  <c r="P329" i="2"/>
  <c r="AD419" i="2"/>
  <c r="AG419" i="2"/>
  <c r="Q463" i="2"/>
  <c r="T463" i="2"/>
  <c r="AD421" i="2"/>
  <c r="AG421" i="2"/>
  <c r="AJ421" i="2"/>
  <c r="AH376" i="2"/>
  <c r="AH329" i="2"/>
  <c r="AC329" i="2"/>
  <c r="AC376" i="2"/>
  <c r="AD464" i="2"/>
  <c r="AG464" i="2"/>
  <c r="AM421" i="2"/>
  <c r="AJ419" i="2"/>
  <c r="AM464" i="2"/>
  <c r="W45" i="2"/>
  <c r="X45" i="2" s="1"/>
  <c r="Y45" i="2" s="1"/>
  <c r="U357" i="2"/>
  <c r="O357" i="2"/>
  <c r="Y357" i="2"/>
  <c r="S357" i="2"/>
  <c r="P357" i="2"/>
  <c r="R357" i="2"/>
  <c r="X357" i="2"/>
  <c r="V357" i="2"/>
  <c r="Q357" i="2"/>
  <c r="R329" i="2"/>
  <c r="R376" i="2"/>
  <c r="X329" i="2"/>
  <c r="X376" i="2"/>
  <c r="O376" i="2"/>
  <c r="O329" i="2"/>
  <c r="K317" i="2"/>
  <c r="H317" i="2"/>
  <c r="H65" i="2" s="1"/>
  <c r="L317" i="2"/>
  <c r="I317" i="2"/>
  <c r="N360" i="2"/>
  <c r="N423" i="2"/>
  <c r="N465" i="2"/>
  <c r="J317" i="2"/>
  <c r="M317" i="2"/>
  <c r="Q465" i="2"/>
  <c r="T465" i="2"/>
  <c r="AB358" i="2"/>
  <c r="AH358" i="2"/>
  <c r="AI358" i="2"/>
  <c r="AK358" i="2"/>
  <c r="AL358" i="2"/>
  <c r="AE358" i="2"/>
  <c r="AF358" i="2"/>
  <c r="AC358" i="2"/>
  <c r="AD358" i="2"/>
  <c r="AG358" i="2"/>
  <c r="W465" i="2"/>
  <c r="AJ463" i="2"/>
  <c r="T452" i="2"/>
  <c r="AK376" i="2"/>
  <c r="AK329" i="2"/>
  <c r="AD465" i="2"/>
  <c r="AG465" i="2"/>
  <c r="AJ465" i="2"/>
  <c r="E22" i="14"/>
  <c r="E23" i="14" s="1"/>
  <c r="E24" i="14" s="1"/>
  <c r="D23" i="14"/>
  <c r="D24" i="14" s="1"/>
  <c r="Y376" i="2"/>
  <c r="Y329" i="2"/>
  <c r="Q423" i="2"/>
  <c r="T423" i="2"/>
  <c r="W423" i="2"/>
  <c r="AE376" i="2"/>
  <c r="AE329" i="2"/>
  <c r="Q419" i="2"/>
  <c r="T419" i="2"/>
  <c r="AJ464" i="2"/>
  <c r="P354" i="2"/>
  <c r="V354" i="2"/>
  <c r="X354" i="2"/>
  <c r="U354" i="2"/>
  <c r="O354" i="2"/>
  <c r="S354" i="2"/>
  <c r="Y354" i="2"/>
  <c r="R354" i="2"/>
  <c r="Q354" i="2"/>
  <c r="U329" i="2"/>
  <c r="U376" i="2"/>
  <c r="Q422" i="2"/>
  <c r="T422" i="2"/>
  <c r="W422" i="2"/>
  <c r="Q464" i="2"/>
  <c r="T464" i="2"/>
  <c r="Q421" i="2"/>
  <c r="T421" i="2"/>
  <c r="W421" i="2"/>
  <c r="T461" i="2"/>
  <c r="N452" i="2"/>
  <c r="K305" i="2"/>
  <c r="H305" i="2"/>
  <c r="L305" i="2"/>
  <c r="I305" i="2"/>
  <c r="N410" i="2"/>
  <c r="N354" i="2"/>
  <c r="J305" i="2"/>
  <c r="AD410" i="2"/>
  <c r="AG410" i="2"/>
  <c r="AB329" i="2"/>
  <c r="AB376" i="2"/>
  <c r="AI329" i="2"/>
  <c r="AI376" i="2"/>
  <c r="AD422" i="2"/>
  <c r="AG422" i="2"/>
  <c r="AJ422" i="2"/>
  <c r="AF359" i="2"/>
  <c r="AC359" i="2"/>
  <c r="AL359" i="2"/>
  <c r="AI359" i="2"/>
  <c r="AH359" i="2"/>
  <c r="AK359" i="2"/>
  <c r="AE359" i="2"/>
  <c r="AB359" i="2"/>
  <c r="AD359" i="2"/>
  <c r="AG359" i="2"/>
  <c r="AD423" i="2"/>
  <c r="AG423" i="2"/>
  <c r="AJ423" i="2"/>
  <c r="Z53" i="2"/>
  <c r="AA53" i="2" s="1"/>
  <c r="AB53" i="2" s="1"/>
  <c r="AC53" i="2" s="1"/>
  <c r="AD53" i="2" s="1"/>
  <c r="AE53" i="2" s="1"/>
  <c r="BD53" i="2" s="1"/>
  <c r="S86" i="2"/>
  <c r="T86" i="2" s="1"/>
  <c r="U86" i="2" s="1"/>
  <c r="V86" i="2" s="1"/>
  <c r="Z365" i="2"/>
  <c r="Z369" i="2" s="1"/>
  <c r="AQ128" i="2"/>
  <c r="L168" i="2"/>
  <c r="K169" i="2"/>
  <c r="K22" i="2" s="1"/>
  <c r="AQ42" i="2"/>
  <c r="Z122" i="2"/>
  <c r="AA122" i="2" s="1"/>
  <c r="AB122" i="2" s="1"/>
  <c r="AC122" i="2" s="1"/>
  <c r="AD122" i="2" s="1"/>
  <c r="AE122" i="2" s="1"/>
  <c r="AF122" i="2" s="1"/>
  <c r="AG122" i="2" s="1"/>
  <c r="AH122" i="2" s="1"/>
  <c r="AI122" i="2" s="1"/>
  <c r="AJ122" i="2" s="1"/>
  <c r="AK122" i="2" s="1"/>
  <c r="AL122" i="2" s="1"/>
  <c r="AM122" i="2" s="1"/>
  <c r="AN122" i="2" s="1"/>
  <c r="K165" i="2"/>
  <c r="K21" i="2" s="1"/>
  <c r="L163" i="2"/>
  <c r="W87" i="2"/>
  <c r="X87" i="2" s="1"/>
  <c r="Y87" i="2" s="1"/>
  <c r="Z87" i="2" s="1"/>
  <c r="W52" i="2"/>
  <c r="X52" i="2" s="1"/>
  <c r="Y52" i="2" s="1"/>
  <c r="Z323" i="2"/>
  <c r="Z327" i="2" s="1"/>
  <c r="W121" i="2"/>
  <c r="X121" i="2" s="1"/>
  <c r="Y121" i="2" s="1"/>
  <c r="W35" i="2"/>
  <c r="X35" i="2" s="1"/>
  <c r="Y35" i="2" s="1"/>
  <c r="M20" i="2"/>
  <c r="N159" i="2"/>
  <c r="AQ58" i="2"/>
  <c r="S58" i="2"/>
  <c r="T58" i="2" s="1"/>
  <c r="U58" i="2" s="1"/>
  <c r="V58" i="2" s="1"/>
  <c r="W58" i="2" s="1"/>
  <c r="X58" i="2" s="1"/>
  <c r="Y58" i="2" s="1"/>
  <c r="W106" i="2"/>
  <c r="X106" i="2" s="1"/>
  <c r="Y106" i="2" s="1"/>
  <c r="BE91" i="2"/>
  <c r="W88" i="2"/>
  <c r="X88" i="2" s="1"/>
  <c r="Y88" i="2" s="1"/>
  <c r="W332" i="2"/>
  <c r="Y162" i="2"/>
  <c r="W29" i="2"/>
  <c r="X29" i="2" s="1"/>
  <c r="Y29" i="2" s="1"/>
  <c r="M19" i="2"/>
  <c r="N156" i="2"/>
  <c r="N167" i="2"/>
  <c r="W31" i="2"/>
  <c r="X31" i="2" s="1"/>
  <c r="Y31" i="2" s="1"/>
  <c r="W73" i="2"/>
  <c r="X73" i="2" s="1"/>
  <c r="Y73" i="2" s="1"/>
  <c r="BE37" i="2"/>
  <c r="BE109" i="2"/>
  <c r="W107" i="2"/>
  <c r="X107" i="2" s="1"/>
  <c r="Y107" i="2" s="1"/>
  <c r="Z288" i="2"/>
  <c r="W68" i="2"/>
  <c r="X68" i="2" s="1"/>
  <c r="Y68" i="2" s="1"/>
  <c r="T329" i="2"/>
  <c r="Z302" i="2"/>
  <c r="W80" i="2"/>
  <c r="X80" i="2" s="1"/>
  <c r="Y80" i="2" s="1"/>
  <c r="Z303" i="2"/>
  <c r="X143" i="2"/>
  <c r="Y143" i="2" s="1"/>
  <c r="Z143" i="2" s="1"/>
  <c r="AM295" i="2"/>
  <c r="AG376" i="2"/>
  <c r="AG384" i="2" s="1"/>
  <c r="W67" i="2"/>
  <c r="X67" i="2" s="1"/>
  <c r="Y67" i="2" s="1"/>
  <c r="AG329" i="2"/>
  <c r="Z360" i="2"/>
  <c r="AM340" i="2"/>
  <c r="AM291" i="2"/>
  <c r="W42" i="2"/>
  <c r="X42" i="2" s="1"/>
  <c r="Y42" i="2" s="1"/>
  <c r="W72" i="2"/>
  <c r="X72" i="2" s="1"/>
  <c r="Y72" i="2" s="1"/>
  <c r="AM347" i="2"/>
  <c r="AM292" i="2"/>
  <c r="AM286" i="2"/>
  <c r="W129" i="2"/>
  <c r="X129" i="2" s="1"/>
  <c r="Y129" i="2" s="1"/>
  <c r="AM299" i="2"/>
  <c r="Z314" i="2"/>
  <c r="AM316" i="2"/>
  <c r="AM300" i="2"/>
  <c r="D138" i="12"/>
  <c r="D140" i="12" s="1"/>
  <c r="AM349" i="2"/>
  <c r="AM290" i="2"/>
  <c r="AM311" i="2"/>
  <c r="Z317" i="2"/>
  <c r="Z342" i="2"/>
  <c r="W50" i="2"/>
  <c r="X50" i="2" s="1"/>
  <c r="Y50" i="2" s="1"/>
  <c r="AM348" i="2"/>
  <c r="AM306" i="2"/>
  <c r="AM352" i="2"/>
  <c r="Z343" i="2"/>
  <c r="Z298" i="2"/>
  <c r="AM293" i="2"/>
  <c r="AM341" i="2"/>
  <c r="Z292" i="2"/>
  <c r="Z79" i="2" s="1"/>
  <c r="AA79" i="2" s="1"/>
  <c r="AB79" i="2" s="1"/>
  <c r="AC79" i="2" s="1"/>
  <c r="AD79" i="2" s="1"/>
  <c r="AE79" i="2" s="1"/>
  <c r="AM310" i="2"/>
  <c r="Z350" i="2"/>
  <c r="W357" i="2"/>
  <c r="AM431" i="2"/>
  <c r="AM284" i="2"/>
  <c r="M140" i="2"/>
  <c r="N140" i="2" s="1"/>
  <c r="O140" i="2" s="1"/>
  <c r="P140" i="2" s="1"/>
  <c r="Q140" i="2" s="1"/>
  <c r="R140" i="2" s="1"/>
  <c r="S140" i="2" s="1"/>
  <c r="T140" i="2" s="1"/>
  <c r="U140" i="2" s="1"/>
  <c r="V140" i="2" s="1"/>
  <c r="Z431" i="2"/>
  <c r="Z284" i="2"/>
  <c r="Z334" i="2"/>
  <c r="W430" i="2"/>
  <c r="W333" i="2"/>
  <c r="W283" i="2"/>
  <c r="AM444" i="2"/>
  <c r="AM346" i="2"/>
  <c r="AM435" i="2"/>
  <c r="AM288" i="2"/>
  <c r="AM443" i="2"/>
  <c r="AM345" i="2"/>
  <c r="AM448" i="2"/>
  <c r="AM350" i="2"/>
  <c r="Z437" i="2"/>
  <c r="Z290" i="2"/>
  <c r="Z340" i="2"/>
  <c r="AJ434" i="2"/>
  <c r="AJ287" i="2"/>
  <c r="AJ337" i="2"/>
  <c r="Z447" i="2"/>
  <c r="Z349" i="2"/>
  <c r="Z300" i="2"/>
  <c r="Z70" i="2" s="1"/>
  <c r="AA70" i="2" s="1"/>
  <c r="AB70" i="2" s="1"/>
  <c r="AC70" i="2" s="1"/>
  <c r="AD70" i="2" s="1"/>
  <c r="AE70" i="2" s="1"/>
  <c r="Z446" i="2"/>
  <c r="Z299" i="2"/>
  <c r="AM462" i="2"/>
  <c r="AM314" i="2"/>
  <c r="Z436" i="2"/>
  <c r="Z289" i="2"/>
  <c r="Z433" i="2"/>
  <c r="Z286" i="2"/>
  <c r="AM297" i="2"/>
  <c r="AM451" i="2"/>
  <c r="AM304" i="2"/>
  <c r="Z308" i="2"/>
  <c r="Z463" i="2"/>
  <c r="Z315" i="2"/>
  <c r="Z451" i="2"/>
  <c r="Z304" i="2"/>
  <c r="D155" i="12"/>
  <c r="D142" i="12"/>
  <c r="AM296" i="2"/>
  <c r="Z438" i="2"/>
  <c r="Z291" i="2"/>
  <c r="AM441" i="2"/>
  <c r="AM294" i="2"/>
  <c r="W119" i="2"/>
  <c r="X119" i="2" s="1"/>
  <c r="Y119" i="2" s="1"/>
  <c r="E102" i="12"/>
  <c r="E103" i="12" s="1"/>
  <c r="E105" i="12" s="1"/>
  <c r="E115" i="12" s="1"/>
  <c r="E135" i="12" s="1"/>
  <c r="E128" i="12"/>
  <c r="E136" i="12" s="1"/>
  <c r="S63" i="2"/>
  <c r="T63" i="2" s="1"/>
  <c r="U63" i="2" s="1"/>
  <c r="V63" i="2" s="1"/>
  <c r="W63" i="2" s="1"/>
  <c r="X63" i="2" s="1"/>
  <c r="Y63" i="2" s="1"/>
  <c r="AQ63" i="2"/>
  <c r="K56" i="2"/>
  <c r="W144" i="2"/>
  <c r="X144" i="2" s="1"/>
  <c r="Y144" i="2" s="1"/>
  <c r="T376" i="2"/>
  <c r="T384" i="2" s="1"/>
  <c r="AM339" i="2"/>
  <c r="AM343" i="2"/>
  <c r="Z297" i="2"/>
  <c r="E152" i="12"/>
  <c r="E134" i="12"/>
  <c r="E74" i="12"/>
  <c r="E75" i="12" s="1"/>
  <c r="E77" i="12" s="1"/>
  <c r="E79" i="12" s="1"/>
  <c r="E82" i="12" s="1"/>
  <c r="AM289" i="2"/>
  <c r="AM342" i="2"/>
  <c r="C138" i="12"/>
  <c r="AJ305" i="2"/>
  <c r="AM410" i="2"/>
  <c r="AM249" i="2"/>
  <c r="AM452" i="2" s="1"/>
  <c r="AM334" i="2"/>
  <c r="AM358" i="2"/>
  <c r="Z353" i="2"/>
  <c r="Z307" i="2"/>
  <c r="Z306" i="2"/>
  <c r="Z355" i="2"/>
  <c r="AM333" i="2"/>
  <c r="W313" i="2"/>
  <c r="AM353" i="2"/>
  <c r="Z345" i="2"/>
  <c r="W287" i="2"/>
  <c r="Z392" i="2"/>
  <c r="Z231" i="2"/>
  <c r="Z434" i="2" s="1"/>
  <c r="Z358" i="2"/>
  <c r="AM285" i="2"/>
  <c r="Z293" i="2"/>
  <c r="AM317" i="2"/>
  <c r="Z359" i="2"/>
  <c r="AM302" i="2"/>
  <c r="Z335" i="2"/>
  <c r="N104" i="2"/>
  <c r="AJ282" i="2"/>
  <c r="Z351" i="2"/>
  <c r="AM336" i="2"/>
  <c r="AJ357" i="2"/>
  <c r="AM258" i="2"/>
  <c r="AM461" i="2" s="1"/>
  <c r="AM419" i="2"/>
  <c r="Z346" i="2"/>
  <c r="AM364" i="2"/>
  <c r="AM322" i="2"/>
  <c r="Z295" i="2"/>
  <c r="Z361" i="2"/>
  <c r="Z424" i="2"/>
  <c r="Z318" i="2"/>
  <c r="Z310" i="2"/>
  <c r="Z352" i="2"/>
  <c r="AM308" i="2"/>
  <c r="AJ354" i="2"/>
  <c r="AM315" i="2"/>
  <c r="AM363" i="2"/>
  <c r="AM466" i="2"/>
  <c r="AM320" i="2"/>
  <c r="AM298" i="2"/>
  <c r="Z338" i="2"/>
  <c r="N27" i="2"/>
  <c r="Z341" i="2"/>
  <c r="W264" i="2"/>
  <c r="W266" i="2" s="1"/>
  <c r="W269" i="2" s="1"/>
  <c r="W216" i="2" s="1"/>
  <c r="W217" i="2" s="1"/>
  <c r="W219" i="2" s="1"/>
  <c r="W224" i="2" s="1"/>
  <c r="W429" i="2"/>
  <c r="Z301" i="2"/>
  <c r="AM283" i="2"/>
  <c r="AM344" i="2"/>
  <c r="AM355" i="2"/>
  <c r="AM301" i="2"/>
  <c r="Z296" i="2"/>
  <c r="W337" i="2"/>
  <c r="Z294" i="2"/>
  <c r="Z322" i="2"/>
  <c r="Z364" i="2"/>
  <c r="AM303" i="2"/>
  <c r="AM335" i="2"/>
  <c r="AM360" i="2"/>
  <c r="Z309" i="2"/>
  <c r="AM351" i="2"/>
  <c r="Z347" i="2"/>
  <c r="AM359" i="2"/>
  <c r="Z348" i="2"/>
  <c r="AM226" i="2"/>
  <c r="AM332" i="2" s="1"/>
  <c r="AM215" i="2"/>
  <c r="AM387" i="2"/>
  <c r="W354" i="2"/>
  <c r="Z410" i="2"/>
  <c r="Z249" i="2"/>
  <c r="Z452" i="2" s="1"/>
  <c r="AJ313" i="2"/>
  <c r="W28" i="2"/>
  <c r="X28" i="2" s="1"/>
  <c r="Y28" i="2" s="1"/>
  <c r="W32" i="2"/>
  <c r="X32" i="2" s="1"/>
  <c r="Y32" i="2" s="1"/>
  <c r="Z344" i="2"/>
  <c r="AM307" i="2"/>
  <c r="AM309" i="2"/>
  <c r="Z215" i="2"/>
  <c r="Z387" i="2"/>
  <c r="Z226" i="2"/>
  <c r="Z282" i="2" s="1"/>
  <c r="Z316" i="2"/>
  <c r="AM392" i="2"/>
  <c r="AM231" i="2"/>
  <c r="AM434" i="2" s="1"/>
  <c r="Z285" i="2"/>
  <c r="W305" i="2"/>
  <c r="Z311" i="2"/>
  <c r="Z320" i="2"/>
  <c r="Z363" i="2"/>
  <c r="Z466" i="2"/>
  <c r="W64" i="2"/>
  <c r="X64" i="2" s="1"/>
  <c r="Y64" i="2" s="1"/>
  <c r="W89" i="2"/>
  <c r="X89" i="2" s="1"/>
  <c r="Y89" i="2" s="1"/>
  <c r="W141" i="2"/>
  <c r="X141" i="2" s="1"/>
  <c r="Y141" i="2" s="1"/>
  <c r="Z419" i="2"/>
  <c r="Z258" i="2"/>
  <c r="Z461" i="2" s="1"/>
  <c r="W33" i="2"/>
  <c r="X33" i="2" s="1"/>
  <c r="Y33" i="2" s="1"/>
  <c r="Z388" i="2"/>
  <c r="Z227" i="2"/>
  <c r="Z430" i="2" s="1"/>
  <c r="W128" i="2"/>
  <c r="X128" i="2" s="1"/>
  <c r="Y128" i="2" s="1"/>
  <c r="AJ264" i="2"/>
  <c r="AJ266" i="2" s="1"/>
  <c r="AJ269" i="2" s="1"/>
  <c r="AJ216" i="2" s="1"/>
  <c r="AJ217" i="2" s="1"/>
  <c r="AJ219" i="2" s="1"/>
  <c r="AJ224" i="2" s="1"/>
  <c r="AJ429" i="2"/>
  <c r="W57" i="2"/>
  <c r="X57" i="2" s="1"/>
  <c r="Y57" i="2" s="1"/>
  <c r="AM361" i="2"/>
  <c r="AM424" i="2"/>
  <c r="AM318" i="2"/>
  <c r="W81" i="2"/>
  <c r="X81" i="2" s="1"/>
  <c r="Y81" i="2" s="1"/>
  <c r="AZ71" i="2" l="1"/>
  <c r="AY71" i="2"/>
  <c r="AU71" i="2"/>
  <c r="AS71" i="2"/>
  <c r="BB71" i="2"/>
  <c r="AR71" i="2"/>
  <c r="AW71" i="2"/>
  <c r="AT71" i="2"/>
  <c r="AX71" i="2"/>
  <c r="BA71" i="2"/>
  <c r="BC71" i="2"/>
  <c r="BD135" i="2"/>
  <c r="AR135" i="2" s="1"/>
  <c r="AF135" i="2"/>
  <c r="AG135" i="2" s="1"/>
  <c r="AH135" i="2" s="1"/>
  <c r="AI135" i="2" s="1"/>
  <c r="AJ135" i="2" s="1"/>
  <c r="AK135" i="2" s="1"/>
  <c r="AL135" i="2" s="1"/>
  <c r="AM135" i="2" s="1"/>
  <c r="AN135" i="2" s="1"/>
  <c r="AG377" i="2"/>
  <c r="AG385" i="2" s="1"/>
  <c r="I48" i="2"/>
  <c r="J48" i="2" s="1"/>
  <c r="K48" i="2" s="1"/>
  <c r="L48" i="2" s="1"/>
  <c r="M48" i="2" s="1"/>
  <c r="N48" i="2" s="1"/>
  <c r="O48" i="2" s="1"/>
  <c r="P48" i="2" s="1"/>
  <c r="Q48" i="2" s="1"/>
  <c r="R48" i="2" s="1"/>
  <c r="AS135" i="2"/>
  <c r="T371" i="2"/>
  <c r="T373" i="2" s="1"/>
  <c r="T374" i="2" s="1"/>
  <c r="Z133" i="2"/>
  <c r="AA133" i="2" s="1"/>
  <c r="AB133" i="2" s="1"/>
  <c r="AC133" i="2" s="1"/>
  <c r="AD133" i="2" s="1"/>
  <c r="AE133" i="2" s="1"/>
  <c r="AF133" i="2" s="1"/>
  <c r="AG133" i="2" s="1"/>
  <c r="AH133" i="2" s="1"/>
  <c r="AI133" i="2" s="1"/>
  <c r="AJ133" i="2" s="1"/>
  <c r="AK133" i="2" s="1"/>
  <c r="AL133" i="2" s="1"/>
  <c r="AM133" i="2" s="1"/>
  <c r="AN133" i="2" s="1"/>
  <c r="Z34" i="2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I43" i="2"/>
  <c r="J43" i="2" s="1"/>
  <c r="K43" i="2" s="1"/>
  <c r="L43" i="2" s="1"/>
  <c r="M43" i="2" s="1"/>
  <c r="N43" i="2" s="1"/>
  <c r="O43" i="2" s="1"/>
  <c r="P43" i="2" s="1"/>
  <c r="Q43" i="2" s="1"/>
  <c r="R43" i="2" s="1"/>
  <c r="BB135" i="2"/>
  <c r="AD467" i="2"/>
  <c r="AT135" i="2"/>
  <c r="T377" i="2"/>
  <c r="T385" i="2" s="1"/>
  <c r="AZ135" i="2"/>
  <c r="AU135" i="2"/>
  <c r="AV135" i="2"/>
  <c r="AX135" i="2"/>
  <c r="BA135" i="2"/>
  <c r="W426" i="2"/>
  <c r="T467" i="2"/>
  <c r="AY135" i="2"/>
  <c r="AJ426" i="2"/>
  <c r="Z89" i="2"/>
  <c r="AA89" i="2" s="1"/>
  <c r="AB89" i="2" s="1"/>
  <c r="AC89" i="2" s="1"/>
  <c r="AD89" i="2" s="1"/>
  <c r="AE89" i="2" s="1"/>
  <c r="BD89" i="2" s="1"/>
  <c r="AG371" i="2"/>
  <c r="AG373" i="2" s="1"/>
  <c r="AG374" i="2" s="1"/>
  <c r="AG467" i="2"/>
  <c r="I65" i="2"/>
  <c r="J65" i="2" s="1"/>
  <c r="K65" i="2" s="1"/>
  <c r="L65" i="2" s="1"/>
  <c r="M65" i="2" s="1"/>
  <c r="N65" i="2" s="1"/>
  <c r="O65" i="2" s="1"/>
  <c r="P65" i="2" s="1"/>
  <c r="Q65" i="2" s="1"/>
  <c r="R65" i="2" s="1"/>
  <c r="Q467" i="2"/>
  <c r="K354" i="2"/>
  <c r="I354" i="2"/>
  <c r="H354" i="2"/>
  <c r="L354" i="2"/>
  <c r="J354" i="2"/>
  <c r="M354" i="2"/>
  <c r="X377" i="2"/>
  <c r="X385" i="2" s="1"/>
  <c r="X371" i="2"/>
  <c r="X373" i="2" s="1"/>
  <c r="X374" i="2" s="1"/>
  <c r="AE384" i="2"/>
  <c r="AK384" i="2"/>
  <c r="AB377" i="2"/>
  <c r="AB385" i="2" s="1"/>
  <c r="AB371" i="2"/>
  <c r="AB373" i="2" s="1"/>
  <c r="AB374" i="2" s="1"/>
  <c r="AF384" i="2"/>
  <c r="J461" i="2"/>
  <c r="M461" i="2"/>
  <c r="K357" i="2"/>
  <c r="I357" i="2"/>
  <c r="H357" i="2"/>
  <c r="H110" i="2" s="1"/>
  <c r="L357" i="2"/>
  <c r="J357" i="2"/>
  <c r="M357" i="2"/>
  <c r="M376" i="2"/>
  <c r="M384" i="2" s="1"/>
  <c r="Z45" i="2"/>
  <c r="AA45" i="2" s="1"/>
  <c r="AB45" i="2" s="1"/>
  <c r="AC45" i="2" s="1"/>
  <c r="AD45" i="2" s="1"/>
  <c r="AE45" i="2" s="1"/>
  <c r="BD45" i="2" s="1"/>
  <c r="AU45" i="2" s="1"/>
  <c r="Z67" i="2"/>
  <c r="AA67" i="2" s="1"/>
  <c r="AB67" i="2" s="1"/>
  <c r="AC67" i="2" s="1"/>
  <c r="AD67" i="2" s="1"/>
  <c r="AE67" i="2" s="1"/>
  <c r="BD67" i="2" s="1"/>
  <c r="AD426" i="2"/>
  <c r="I329" i="2"/>
  <c r="I376" i="2"/>
  <c r="J452" i="2"/>
  <c r="M452" i="2"/>
  <c r="Q371" i="2"/>
  <c r="Q373" i="2" s="1"/>
  <c r="Q374" i="2" s="1"/>
  <c r="Q377" i="2"/>
  <c r="O371" i="2"/>
  <c r="O373" i="2" s="1"/>
  <c r="O374" i="2" s="1"/>
  <c r="O377" i="2"/>
  <c r="O385" i="2" s="1"/>
  <c r="P377" i="2"/>
  <c r="P385" i="2" s="1"/>
  <c r="P371" i="2"/>
  <c r="P373" i="2" s="1"/>
  <c r="P374" i="2" s="1"/>
  <c r="J465" i="2"/>
  <c r="M465" i="2"/>
  <c r="O384" i="2"/>
  <c r="AC384" i="2"/>
  <c r="P384" i="2"/>
  <c r="AC371" i="2"/>
  <c r="AC373" i="2" s="1"/>
  <c r="AC374" i="2" s="1"/>
  <c r="AC377" i="2"/>
  <c r="AC385" i="2" s="1"/>
  <c r="AI371" i="2"/>
  <c r="AI373" i="2" s="1"/>
  <c r="AI374" i="2" s="1"/>
  <c r="AI377" i="2"/>
  <c r="AI385" i="2" s="1"/>
  <c r="G419" i="2"/>
  <c r="J419" i="2" s="1"/>
  <c r="M419" i="2"/>
  <c r="T426" i="2"/>
  <c r="J464" i="2"/>
  <c r="M464" i="2"/>
  <c r="L358" i="2"/>
  <c r="I358" i="2"/>
  <c r="H358" i="2"/>
  <c r="H115" i="2" s="1"/>
  <c r="K358" i="2"/>
  <c r="J358" i="2"/>
  <c r="M358" i="2"/>
  <c r="Z29" i="2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H90" i="2"/>
  <c r="I90" i="2" s="1"/>
  <c r="J90" i="2" s="1"/>
  <c r="K90" i="2" s="1"/>
  <c r="L90" i="2" s="1"/>
  <c r="M90" i="2" s="1"/>
  <c r="N90" i="2" s="1"/>
  <c r="O90" i="2" s="1"/>
  <c r="P90" i="2" s="1"/>
  <c r="Q90" i="2" s="1"/>
  <c r="R90" i="2" s="1"/>
  <c r="H376" i="2"/>
  <c r="H329" i="2"/>
  <c r="U384" i="2"/>
  <c r="Y377" i="2"/>
  <c r="Y385" i="2" s="1"/>
  <c r="Y371" i="2"/>
  <c r="Y373" i="2" s="1"/>
  <c r="Y374" i="2" s="1"/>
  <c r="H360" i="2"/>
  <c r="H130" i="2" s="1"/>
  <c r="I360" i="2"/>
  <c r="K360" i="2"/>
  <c r="L360" i="2"/>
  <c r="J360" i="2"/>
  <c r="M360" i="2"/>
  <c r="V384" i="2"/>
  <c r="AD371" i="2"/>
  <c r="AD373" i="2" s="1"/>
  <c r="AD374" i="2" s="1"/>
  <c r="AD377" i="2"/>
  <c r="AF371" i="2"/>
  <c r="AF373" i="2" s="1"/>
  <c r="AF374" i="2" s="1"/>
  <c r="AF377" i="2"/>
  <c r="AF385" i="2" s="1"/>
  <c r="K359" i="2"/>
  <c r="H359" i="2"/>
  <c r="H117" i="2" s="1"/>
  <c r="I359" i="2"/>
  <c r="L359" i="2"/>
  <c r="J359" i="2"/>
  <c r="M359" i="2"/>
  <c r="M329" i="2"/>
  <c r="AB384" i="2"/>
  <c r="J329" i="2"/>
  <c r="J376" i="2"/>
  <c r="L376" i="2"/>
  <c r="L329" i="2"/>
  <c r="R371" i="2"/>
  <c r="R373" i="2" s="1"/>
  <c r="R374" i="2" s="1"/>
  <c r="R377" i="2"/>
  <c r="R385" i="2" s="1"/>
  <c r="U371" i="2"/>
  <c r="U373" i="2" s="1"/>
  <c r="U374" i="2" s="1"/>
  <c r="U377" i="2"/>
  <c r="U385" i="2" s="1"/>
  <c r="G423" i="2"/>
  <c r="J423" i="2" s="1"/>
  <c r="M423" i="2"/>
  <c r="X384" i="2"/>
  <c r="AK377" i="2"/>
  <c r="AK385" i="2" s="1"/>
  <c r="AK371" i="2"/>
  <c r="AK373" i="2" s="1"/>
  <c r="AK374" i="2" s="1"/>
  <c r="AH377" i="2"/>
  <c r="AH385" i="2" s="1"/>
  <c r="AH371" i="2"/>
  <c r="AH373" i="2" s="1"/>
  <c r="AH374" i="2" s="1"/>
  <c r="I38" i="2"/>
  <c r="J38" i="2" s="1"/>
  <c r="Q426" i="2"/>
  <c r="G421" i="2"/>
  <c r="J421" i="2" s="1"/>
  <c r="M421" i="2"/>
  <c r="AI384" i="2"/>
  <c r="AG426" i="2"/>
  <c r="G410" i="2"/>
  <c r="J410" i="2" s="1"/>
  <c r="M410" i="2"/>
  <c r="K376" i="2"/>
  <c r="K329" i="2"/>
  <c r="S377" i="2"/>
  <c r="S385" i="2" s="1"/>
  <c r="S371" i="2"/>
  <c r="S373" i="2" s="1"/>
  <c r="S374" i="2" s="1"/>
  <c r="V377" i="2"/>
  <c r="V385" i="2" s="1"/>
  <c r="V371" i="2"/>
  <c r="V373" i="2" s="1"/>
  <c r="V374" i="2" s="1"/>
  <c r="Y384" i="2"/>
  <c r="R384" i="2"/>
  <c r="AH384" i="2"/>
  <c r="AL371" i="2"/>
  <c r="AL373" i="2" s="1"/>
  <c r="AL374" i="2" s="1"/>
  <c r="AL377" i="2"/>
  <c r="AL385" i="2" s="1"/>
  <c r="AE377" i="2"/>
  <c r="AE385" i="2" s="1"/>
  <c r="AE371" i="2"/>
  <c r="AE373" i="2" s="1"/>
  <c r="AE374" i="2" s="1"/>
  <c r="AL384" i="2"/>
  <c r="S384" i="2"/>
  <c r="G422" i="2"/>
  <c r="J422" i="2" s="1"/>
  <c r="M422" i="2"/>
  <c r="J463" i="2"/>
  <c r="M463" i="2"/>
  <c r="AF53" i="2"/>
  <c r="AG53" i="2" s="1"/>
  <c r="AH53" i="2" s="1"/>
  <c r="AI53" i="2" s="1"/>
  <c r="AJ53" i="2" s="1"/>
  <c r="AK53" i="2" s="1"/>
  <c r="AL53" i="2" s="1"/>
  <c r="AM53" i="2" s="1"/>
  <c r="AN53" i="2" s="1"/>
  <c r="BD122" i="2"/>
  <c r="BC122" i="2" s="1"/>
  <c r="AA87" i="2"/>
  <c r="AB87" i="2" s="1"/>
  <c r="AC87" i="2" s="1"/>
  <c r="AD87" i="2" s="1"/>
  <c r="AE87" i="2" s="1"/>
  <c r="BD87" i="2" s="1"/>
  <c r="Z121" i="2"/>
  <c r="AA121" i="2" s="1"/>
  <c r="AB121" i="2" s="1"/>
  <c r="AC121" i="2" s="1"/>
  <c r="AD121" i="2" s="1"/>
  <c r="AE121" i="2" s="1"/>
  <c r="BD121" i="2" s="1"/>
  <c r="Z35" i="2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Z88" i="2"/>
  <c r="AA88" i="2" s="1"/>
  <c r="AB88" i="2" s="1"/>
  <c r="AC88" i="2" s="1"/>
  <c r="AD88" i="2" s="1"/>
  <c r="AE88" i="2" s="1"/>
  <c r="AF88" i="2" s="1"/>
  <c r="AG88" i="2" s="1"/>
  <c r="AH88" i="2" s="1"/>
  <c r="AI88" i="2" s="1"/>
  <c r="AJ88" i="2" s="1"/>
  <c r="AK88" i="2" s="1"/>
  <c r="AL88" i="2" s="1"/>
  <c r="AM88" i="2" s="1"/>
  <c r="AN88" i="2" s="1"/>
  <c r="Z73" i="2"/>
  <c r="AA73" i="2" s="1"/>
  <c r="AB73" i="2" s="1"/>
  <c r="AC73" i="2" s="1"/>
  <c r="AD73" i="2" s="1"/>
  <c r="AE73" i="2" s="1"/>
  <c r="BD73" i="2" s="1"/>
  <c r="Z52" i="2"/>
  <c r="AA52" i="2" s="1"/>
  <c r="AB52" i="2" s="1"/>
  <c r="AC52" i="2" s="1"/>
  <c r="AD52" i="2" s="1"/>
  <c r="AE52" i="2" s="1"/>
  <c r="AF52" i="2" s="1"/>
  <c r="AG52" i="2" s="1"/>
  <c r="AH52" i="2" s="1"/>
  <c r="AI52" i="2" s="1"/>
  <c r="AJ52" i="2" s="1"/>
  <c r="AK52" i="2" s="1"/>
  <c r="AL52" i="2" s="1"/>
  <c r="AM52" i="2" s="1"/>
  <c r="AN52" i="2" s="1"/>
  <c r="Z72" i="2"/>
  <c r="AA72" i="2" s="1"/>
  <c r="AB72" i="2" s="1"/>
  <c r="AC72" i="2" s="1"/>
  <c r="AD72" i="2" s="1"/>
  <c r="AE72" i="2" s="1"/>
  <c r="BD72" i="2" s="1"/>
  <c r="M168" i="2"/>
  <c r="L169" i="2"/>
  <c r="M163" i="2"/>
  <c r="L165" i="2"/>
  <c r="L21" i="2" s="1"/>
  <c r="AW53" i="2"/>
  <c r="AX53" i="2"/>
  <c r="BC53" i="2"/>
  <c r="AS53" i="2"/>
  <c r="AZ53" i="2"/>
  <c r="AR53" i="2"/>
  <c r="BA53" i="2"/>
  <c r="AV53" i="2"/>
  <c r="AU53" i="2"/>
  <c r="AT53" i="2"/>
  <c r="BB53" i="2"/>
  <c r="AY53" i="2"/>
  <c r="Z357" i="2"/>
  <c r="Z144" i="2"/>
  <c r="AA144" i="2" s="1"/>
  <c r="AB144" i="2" s="1"/>
  <c r="AC144" i="2" s="1"/>
  <c r="AD144" i="2" s="1"/>
  <c r="AE144" i="2" s="1"/>
  <c r="BD144" i="2" s="1"/>
  <c r="Z58" i="2"/>
  <c r="AA58" i="2" s="1"/>
  <c r="AB58" i="2" s="1"/>
  <c r="AC58" i="2" s="1"/>
  <c r="AD58" i="2" s="1"/>
  <c r="AE58" i="2" s="1"/>
  <c r="BD58" i="2" s="1"/>
  <c r="Z50" i="2"/>
  <c r="AA50" i="2" s="1"/>
  <c r="AB50" i="2" s="1"/>
  <c r="AC50" i="2" s="1"/>
  <c r="AD50" i="2" s="1"/>
  <c r="AE50" i="2" s="1"/>
  <c r="BD50" i="2" s="1"/>
  <c r="Z129" i="2"/>
  <c r="AA129" i="2" s="1"/>
  <c r="AB129" i="2" s="1"/>
  <c r="AC129" i="2" s="1"/>
  <c r="AD129" i="2" s="1"/>
  <c r="AE129" i="2" s="1"/>
  <c r="AF129" i="2" s="1"/>
  <c r="AG129" i="2" s="1"/>
  <c r="AH129" i="2" s="1"/>
  <c r="AI129" i="2" s="1"/>
  <c r="AJ129" i="2" s="1"/>
  <c r="AK129" i="2" s="1"/>
  <c r="AL129" i="2" s="1"/>
  <c r="AM129" i="2" s="1"/>
  <c r="AN129" i="2" s="1"/>
  <c r="Z68" i="2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Z81" i="2"/>
  <c r="AA81" i="2" s="1"/>
  <c r="AB81" i="2" s="1"/>
  <c r="AC81" i="2" s="1"/>
  <c r="AD81" i="2" s="1"/>
  <c r="AE81" i="2" s="1"/>
  <c r="BD81" i="2" s="1"/>
  <c r="Z57" i="2"/>
  <c r="AA57" i="2" s="1"/>
  <c r="AB57" i="2" s="1"/>
  <c r="AC57" i="2" s="1"/>
  <c r="AD57" i="2" s="1"/>
  <c r="AE57" i="2" s="1"/>
  <c r="BD57" i="2" s="1"/>
  <c r="Z313" i="2"/>
  <c r="Z28" i="2"/>
  <c r="AA28" i="2" s="1"/>
  <c r="AB28" i="2" s="1"/>
  <c r="AC28" i="2" s="1"/>
  <c r="AD28" i="2" s="1"/>
  <c r="AE28" i="2" s="1"/>
  <c r="AF28" i="2" s="1"/>
  <c r="AG28" i="2" s="1"/>
  <c r="AH28" i="2" s="1"/>
  <c r="AI28" i="2" s="1"/>
  <c r="AJ28" i="2" s="1"/>
  <c r="AK28" i="2" s="1"/>
  <c r="AL28" i="2" s="1"/>
  <c r="AM28" i="2" s="1"/>
  <c r="AN28" i="2" s="1"/>
  <c r="N20" i="2"/>
  <c r="O159" i="2"/>
  <c r="BD70" i="2"/>
  <c r="AR70" i="2" s="1"/>
  <c r="AF70" i="2"/>
  <c r="AG70" i="2" s="1"/>
  <c r="AH70" i="2" s="1"/>
  <c r="AI70" i="2" s="1"/>
  <c r="AJ70" i="2" s="1"/>
  <c r="AK70" i="2" s="1"/>
  <c r="AL70" i="2" s="1"/>
  <c r="AM70" i="2" s="1"/>
  <c r="AN70" i="2" s="1"/>
  <c r="Z106" i="2"/>
  <c r="AA106" i="2" s="1"/>
  <c r="AB106" i="2" s="1"/>
  <c r="AC106" i="2" s="1"/>
  <c r="AD106" i="2" s="1"/>
  <c r="AE106" i="2" s="1"/>
  <c r="BD106" i="2" s="1"/>
  <c r="AM313" i="2"/>
  <c r="Z31" i="2"/>
  <c r="AA31" i="2" s="1"/>
  <c r="AB31" i="2" s="1"/>
  <c r="AC31" i="2" s="1"/>
  <c r="AD31" i="2" s="1"/>
  <c r="AE31" i="2" s="1"/>
  <c r="BD31" i="2" s="1"/>
  <c r="N19" i="2"/>
  <c r="O156" i="2"/>
  <c r="Z162" i="2"/>
  <c r="Z128" i="2"/>
  <c r="AA128" i="2" s="1"/>
  <c r="AB128" i="2" s="1"/>
  <c r="AC128" i="2" s="1"/>
  <c r="AD128" i="2" s="1"/>
  <c r="AE128" i="2" s="1"/>
  <c r="BD128" i="2" s="1"/>
  <c r="Z32" i="2"/>
  <c r="AA32" i="2" s="1"/>
  <c r="AB32" i="2" s="1"/>
  <c r="AC32" i="2" s="1"/>
  <c r="AD32" i="2" s="1"/>
  <c r="AE32" i="2" s="1"/>
  <c r="BD32" i="2" s="1"/>
  <c r="Z80" i="2"/>
  <c r="AA80" i="2" s="1"/>
  <c r="AB80" i="2" s="1"/>
  <c r="AC80" i="2" s="1"/>
  <c r="AD80" i="2" s="1"/>
  <c r="AE80" i="2" s="1"/>
  <c r="AF80" i="2" s="1"/>
  <c r="AG80" i="2" s="1"/>
  <c r="AH80" i="2" s="1"/>
  <c r="AI80" i="2" s="1"/>
  <c r="AJ80" i="2" s="1"/>
  <c r="AK80" i="2" s="1"/>
  <c r="AL80" i="2" s="1"/>
  <c r="AM80" i="2" s="1"/>
  <c r="AN80" i="2" s="1"/>
  <c r="O167" i="2"/>
  <c r="W371" i="2"/>
  <c r="AJ371" i="2"/>
  <c r="Z354" i="2"/>
  <c r="Z119" i="2"/>
  <c r="AA119" i="2" s="1"/>
  <c r="AB119" i="2" s="1"/>
  <c r="AC119" i="2" s="1"/>
  <c r="AD119" i="2" s="1"/>
  <c r="AE119" i="2" s="1"/>
  <c r="AF119" i="2" s="1"/>
  <c r="AG119" i="2" s="1"/>
  <c r="AH119" i="2" s="1"/>
  <c r="AI119" i="2" s="1"/>
  <c r="AJ119" i="2" s="1"/>
  <c r="AK119" i="2" s="1"/>
  <c r="AL119" i="2" s="1"/>
  <c r="AM119" i="2" s="1"/>
  <c r="AN119" i="2" s="1"/>
  <c r="Z141" i="2"/>
  <c r="AA141" i="2" s="1"/>
  <c r="AB141" i="2" s="1"/>
  <c r="AC141" i="2" s="1"/>
  <c r="AD141" i="2" s="1"/>
  <c r="AE141" i="2" s="1"/>
  <c r="BD141" i="2" s="1"/>
  <c r="AA143" i="2"/>
  <c r="AB143" i="2" s="1"/>
  <c r="AC143" i="2" s="1"/>
  <c r="AD143" i="2" s="1"/>
  <c r="AE143" i="2" s="1"/>
  <c r="BD143" i="2" s="1"/>
  <c r="Z33" i="2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Z64" i="2"/>
  <c r="AA64" i="2" s="1"/>
  <c r="AB64" i="2" s="1"/>
  <c r="AC64" i="2" s="1"/>
  <c r="AD64" i="2" s="1"/>
  <c r="AE64" i="2" s="1"/>
  <c r="AF64" i="2" s="1"/>
  <c r="AG64" i="2" s="1"/>
  <c r="AH64" i="2" s="1"/>
  <c r="AI64" i="2" s="1"/>
  <c r="AJ64" i="2" s="1"/>
  <c r="AK64" i="2" s="1"/>
  <c r="AL64" i="2" s="1"/>
  <c r="AM64" i="2" s="1"/>
  <c r="AN64" i="2" s="1"/>
  <c r="AM282" i="2"/>
  <c r="Z123" i="2"/>
  <c r="AA123" i="2" s="1"/>
  <c r="AB123" i="2" s="1"/>
  <c r="AC123" i="2" s="1"/>
  <c r="AD123" i="2" s="1"/>
  <c r="AE123" i="2" s="1"/>
  <c r="AF123" i="2" s="1"/>
  <c r="AG123" i="2" s="1"/>
  <c r="AH123" i="2" s="1"/>
  <c r="AI123" i="2" s="1"/>
  <c r="AJ123" i="2" s="1"/>
  <c r="AK123" i="2" s="1"/>
  <c r="AL123" i="2" s="1"/>
  <c r="AM123" i="2" s="1"/>
  <c r="AN123" i="2" s="1"/>
  <c r="Z107" i="2"/>
  <c r="AA107" i="2" s="1"/>
  <c r="AB107" i="2" s="1"/>
  <c r="AC107" i="2" s="1"/>
  <c r="AD107" i="2" s="1"/>
  <c r="AE107" i="2" s="1"/>
  <c r="AF107" i="2" s="1"/>
  <c r="AG107" i="2" s="1"/>
  <c r="AH107" i="2" s="1"/>
  <c r="AI107" i="2" s="1"/>
  <c r="AJ107" i="2" s="1"/>
  <c r="AK107" i="2" s="1"/>
  <c r="AL107" i="2" s="1"/>
  <c r="AM107" i="2" s="1"/>
  <c r="AN107" i="2" s="1"/>
  <c r="Z63" i="2"/>
  <c r="AA63" i="2" s="1"/>
  <c r="AB63" i="2" s="1"/>
  <c r="AC63" i="2" s="1"/>
  <c r="AD63" i="2" s="1"/>
  <c r="AE63" i="2" s="1"/>
  <c r="BD63" i="2" s="1"/>
  <c r="W329" i="2"/>
  <c r="AJ467" i="2"/>
  <c r="W140" i="2"/>
  <c r="X140" i="2" s="1"/>
  <c r="Y140" i="2" s="1"/>
  <c r="W467" i="2"/>
  <c r="W86" i="2"/>
  <c r="X86" i="2" s="1"/>
  <c r="Y86" i="2" s="1"/>
  <c r="Z332" i="2"/>
  <c r="W377" i="2"/>
  <c r="W385" i="2" s="1"/>
  <c r="Z42" i="2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W376" i="2"/>
  <c r="L56" i="2"/>
  <c r="Z426" i="2"/>
  <c r="AQ140" i="2"/>
  <c r="AM426" i="2"/>
  <c r="AM357" i="2"/>
  <c r="AJ377" i="2"/>
  <c r="AJ385" i="2" s="1"/>
  <c r="E149" i="12"/>
  <c r="E133" i="12"/>
  <c r="E138" i="12" s="1"/>
  <c r="C155" i="12"/>
  <c r="C140" i="12"/>
  <c r="C142" i="12"/>
  <c r="AF79" i="2"/>
  <c r="AG79" i="2" s="1"/>
  <c r="AH79" i="2" s="1"/>
  <c r="AI79" i="2" s="1"/>
  <c r="AJ79" i="2" s="1"/>
  <c r="AK79" i="2" s="1"/>
  <c r="AL79" i="2" s="1"/>
  <c r="AM79" i="2" s="1"/>
  <c r="AN79" i="2" s="1"/>
  <c r="BD79" i="2"/>
  <c r="O104" i="2"/>
  <c r="AM354" i="2"/>
  <c r="AM337" i="2"/>
  <c r="Z305" i="2"/>
  <c r="O27" i="2"/>
  <c r="Z287" i="2"/>
  <c r="W276" i="2"/>
  <c r="W277" i="2" s="1"/>
  <c r="AM305" i="2"/>
  <c r="Z333" i="2"/>
  <c r="Z283" i="2"/>
  <c r="AJ276" i="2"/>
  <c r="AJ277" i="2" s="1"/>
  <c r="AM287" i="2"/>
  <c r="Z264" i="2"/>
  <c r="Z266" i="2" s="1"/>
  <c r="Z269" i="2" s="1"/>
  <c r="Z216" i="2" s="1"/>
  <c r="Z217" i="2" s="1"/>
  <c r="Z219" i="2" s="1"/>
  <c r="Z224" i="2" s="1"/>
  <c r="Z276" i="2" s="1"/>
  <c r="Z277" i="2" s="1"/>
  <c r="Z429" i="2"/>
  <c r="Z467" i="2" s="1"/>
  <c r="AM264" i="2"/>
  <c r="AM266" i="2" s="1"/>
  <c r="AM269" i="2" s="1"/>
  <c r="AM216" i="2" s="1"/>
  <c r="AM217" i="2" s="1"/>
  <c r="AM219" i="2" s="1"/>
  <c r="AM224" i="2" s="1"/>
  <c r="AM429" i="2"/>
  <c r="AM467" i="2" s="1"/>
  <c r="AJ376" i="2"/>
  <c r="AJ329" i="2"/>
  <c r="Z337" i="2"/>
  <c r="BD132" i="2"/>
  <c r="AF132" i="2"/>
  <c r="AG132" i="2" s="1"/>
  <c r="AH132" i="2" s="1"/>
  <c r="AI132" i="2" s="1"/>
  <c r="AJ132" i="2" s="1"/>
  <c r="AK132" i="2" s="1"/>
  <c r="AL132" i="2" s="1"/>
  <c r="AM132" i="2" s="1"/>
  <c r="AN132" i="2" s="1"/>
  <c r="BE71" i="2" l="1"/>
  <c r="AF67" i="2"/>
  <c r="AG67" i="2" s="1"/>
  <c r="AH67" i="2" s="1"/>
  <c r="AI67" i="2" s="1"/>
  <c r="AJ67" i="2" s="1"/>
  <c r="AK67" i="2" s="1"/>
  <c r="AL67" i="2" s="1"/>
  <c r="AM67" i="2" s="1"/>
  <c r="AN67" i="2" s="1"/>
  <c r="AF89" i="2"/>
  <c r="AG89" i="2" s="1"/>
  <c r="AH89" i="2" s="1"/>
  <c r="AI89" i="2" s="1"/>
  <c r="AJ89" i="2" s="1"/>
  <c r="AK89" i="2" s="1"/>
  <c r="AL89" i="2" s="1"/>
  <c r="AM89" i="2" s="1"/>
  <c r="AN89" i="2" s="1"/>
  <c r="AG378" i="2"/>
  <c r="AG379" i="2" s="1"/>
  <c r="AW135" i="2"/>
  <c r="BC135" i="2"/>
  <c r="BD35" i="2"/>
  <c r="BD34" i="2"/>
  <c r="BB34" i="2" s="1"/>
  <c r="Y378" i="2"/>
  <c r="Y379" i="2" s="1"/>
  <c r="H100" i="2"/>
  <c r="H9" i="2" s="1"/>
  <c r="BD133" i="2"/>
  <c r="AV133" i="2" s="1"/>
  <c r="X378" i="2"/>
  <c r="X379" i="2" s="1"/>
  <c r="AB378" i="2"/>
  <c r="AB379" i="2" s="1"/>
  <c r="AH378" i="2"/>
  <c r="AH379" i="2" s="1"/>
  <c r="T378" i="2"/>
  <c r="T379" i="2" s="1"/>
  <c r="AF45" i="2"/>
  <c r="AG45" i="2" s="1"/>
  <c r="AH45" i="2" s="1"/>
  <c r="AI45" i="2" s="1"/>
  <c r="AJ45" i="2" s="1"/>
  <c r="AK45" i="2" s="1"/>
  <c r="AL45" i="2" s="1"/>
  <c r="AM45" i="2" s="1"/>
  <c r="AN45" i="2" s="1"/>
  <c r="S378" i="2"/>
  <c r="S379" i="2" s="1"/>
  <c r="AZ122" i="2"/>
  <c r="I115" i="2"/>
  <c r="J115" i="2" s="1"/>
  <c r="K115" i="2" s="1"/>
  <c r="L115" i="2" s="1"/>
  <c r="M115" i="2" s="1"/>
  <c r="N115" i="2" s="1"/>
  <c r="O115" i="2" s="1"/>
  <c r="P115" i="2" s="1"/>
  <c r="Q115" i="2" s="1"/>
  <c r="R115" i="2" s="1"/>
  <c r="P378" i="2"/>
  <c r="P379" i="2" s="1"/>
  <c r="BD29" i="2"/>
  <c r="AZ29" i="2" s="1"/>
  <c r="AS122" i="2"/>
  <c r="I117" i="2"/>
  <c r="J117" i="2" s="1"/>
  <c r="K117" i="2" s="1"/>
  <c r="L117" i="2" s="1"/>
  <c r="M117" i="2" s="1"/>
  <c r="N117" i="2" s="1"/>
  <c r="O117" i="2" s="1"/>
  <c r="P117" i="2" s="1"/>
  <c r="Q117" i="2" s="1"/>
  <c r="R117" i="2" s="1"/>
  <c r="M467" i="2"/>
  <c r="AE378" i="2"/>
  <c r="AE379" i="2" s="1"/>
  <c r="AI378" i="2"/>
  <c r="AI379" i="2" s="1"/>
  <c r="U378" i="2"/>
  <c r="U379" i="2" s="1"/>
  <c r="S90" i="2"/>
  <c r="T90" i="2" s="1"/>
  <c r="U90" i="2" s="1"/>
  <c r="V90" i="2" s="1"/>
  <c r="W90" i="2" s="1"/>
  <c r="X90" i="2" s="1"/>
  <c r="Y90" i="2" s="1"/>
  <c r="Z90" i="2" s="1"/>
  <c r="AA90" i="2" s="1"/>
  <c r="AB90" i="2" s="1"/>
  <c r="AC90" i="2" s="1"/>
  <c r="AD90" i="2" s="1"/>
  <c r="AE90" i="2" s="1"/>
  <c r="AQ90" i="2"/>
  <c r="S48" i="2"/>
  <c r="T48" i="2" s="1"/>
  <c r="U48" i="2" s="1"/>
  <c r="V48" i="2" s="1"/>
  <c r="W48" i="2" s="1"/>
  <c r="X48" i="2" s="1"/>
  <c r="Y48" i="2" s="1"/>
  <c r="Z48" i="2" s="1"/>
  <c r="AA48" i="2" s="1"/>
  <c r="AB48" i="2" s="1"/>
  <c r="AC48" i="2" s="1"/>
  <c r="AD48" i="2" s="1"/>
  <c r="AE48" i="2" s="1"/>
  <c r="AQ48" i="2"/>
  <c r="AQ65" i="2"/>
  <c r="S65" i="2"/>
  <c r="T65" i="2" s="1"/>
  <c r="U65" i="2" s="1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R378" i="2"/>
  <c r="R379" i="2" s="1"/>
  <c r="M426" i="2"/>
  <c r="V378" i="2"/>
  <c r="V379" i="2" s="1"/>
  <c r="O378" i="2"/>
  <c r="O379" i="2" s="1"/>
  <c r="Q385" i="2"/>
  <c r="Q378" i="2"/>
  <c r="Q379" i="2" s="1"/>
  <c r="I384" i="2"/>
  <c r="AK378" i="2"/>
  <c r="AK379" i="2" s="1"/>
  <c r="L377" i="2"/>
  <c r="L385" i="2" s="1"/>
  <c r="L371" i="2"/>
  <c r="L373" i="2" s="1"/>
  <c r="L374" i="2" s="1"/>
  <c r="AD385" i="2"/>
  <c r="AD378" i="2"/>
  <c r="AD379" i="2" s="1"/>
  <c r="AC378" i="2"/>
  <c r="AC379" i="2" s="1"/>
  <c r="I110" i="2"/>
  <c r="M377" i="2"/>
  <c r="M371" i="2"/>
  <c r="M373" i="2" s="1"/>
  <c r="M374" i="2" s="1"/>
  <c r="I377" i="2"/>
  <c r="I385" i="2" s="1"/>
  <c r="I371" i="2"/>
  <c r="I373" i="2" s="1"/>
  <c r="I374" i="2" s="1"/>
  <c r="AW122" i="2"/>
  <c r="AL378" i="2"/>
  <c r="AL379" i="2" s="1"/>
  <c r="J426" i="2"/>
  <c r="H384" i="2"/>
  <c r="H146" i="2"/>
  <c r="I146" i="2" s="1"/>
  <c r="J146" i="2" s="1"/>
  <c r="K146" i="2" s="1"/>
  <c r="L146" i="2" s="1"/>
  <c r="M146" i="2" s="1"/>
  <c r="N146" i="2" s="1"/>
  <c r="O146" i="2" s="1"/>
  <c r="P146" i="2" s="1"/>
  <c r="Q146" i="2" s="1"/>
  <c r="R146" i="2" s="1"/>
  <c r="H377" i="2"/>
  <c r="H385" i="2" s="1"/>
  <c r="H371" i="2"/>
  <c r="H373" i="2" s="1"/>
  <c r="H374" i="2" s="1"/>
  <c r="L384" i="2"/>
  <c r="K38" i="2"/>
  <c r="J100" i="2"/>
  <c r="K384" i="2"/>
  <c r="AQ43" i="2"/>
  <c r="S43" i="2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AN43" i="2" s="1"/>
  <c r="I100" i="2"/>
  <c r="J384" i="2"/>
  <c r="I130" i="2"/>
  <c r="J130" i="2" s="1"/>
  <c r="K130" i="2" s="1"/>
  <c r="L130" i="2" s="1"/>
  <c r="M130" i="2" s="1"/>
  <c r="N130" i="2" s="1"/>
  <c r="O130" i="2" s="1"/>
  <c r="P130" i="2" s="1"/>
  <c r="Q130" i="2" s="1"/>
  <c r="R130" i="2" s="1"/>
  <c r="J467" i="2"/>
  <c r="AF378" i="2"/>
  <c r="AF379" i="2" s="1"/>
  <c r="J371" i="2"/>
  <c r="J373" i="2" s="1"/>
  <c r="J374" i="2" s="1"/>
  <c r="J377" i="2"/>
  <c r="J385" i="2" s="1"/>
  <c r="K371" i="2"/>
  <c r="K373" i="2" s="1"/>
  <c r="K374" i="2" s="1"/>
  <c r="K377" i="2"/>
  <c r="K385" i="2" s="1"/>
  <c r="AF121" i="2"/>
  <c r="AG121" i="2" s="1"/>
  <c r="AH121" i="2" s="1"/>
  <c r="AI121" i="2" s="1"/>
  <c r="AJ121" i="2" s="1"/>
  <c r="AK121" i="2" s="1"/>
  <c r="AL121" i="2" s="1"/>
  <c r="AM121" i="2" s="1"/>
  <c r="AN121" i="2" s="1"/>
  <c r="BA122" i="2"/>
  <c r="AY122" i="2"/>
  <c r="AV122" i="2"/>
  <c r="AU122" i="2"/>
  <c r="AT122" i="2"/>
  <c r="BB122" i="2"/>
  <c r="AX122" i="2"/>
  <c r="AR122" i="2"/>
  <c r="AF87" i="2"/>
  <c r="AG87" i="2" s="1"/>
  <c r="AH87" i="2" s="1"/>
  <c r="AI87" i="2" s="1"/>
  <c r="AJ87" i="2" s="1"/>
  <c r="AK87" i="2" s="1"/>
  <c r="AL87" i="2" s="1"/>
  <c r="AM87" i="2" s="1"/>
  <c r="AN87" i="2" s="1"/>
  <c r="BD119" i="2"/>
  <c r="AS119" i="2" s="1"/>
  <c r="AT70" i="2"/>
  <c r="AF106" i="2"/>
  <c r="AG106" i="2" s="1"/>
  <c r="AH106" i="2" s="1"/>
  <c r="AI106" i="2" s="1"/>
  <c r="AJ106" i="2" s="1"/>
  <c r="AK106" i="2" s="1"/>
  <c r="AL106" i="2" s="1"/>
  <c r="AM106" i="2" s="1"/>
  <c r="AN106" i="2" s="1"/>
  <c r="AF81" i="2"/>
  <c r="AG81" i="2" s="1"/>
  <c r="AH81" i="2" s="1"/>
  <c r="AI81" i="2" s="1"/>
  <c r="AJ81" i="2" s="1"/>
  <c r="AK81" i="2" s="1"/>
  <c r="AL81" i="2" s="1"/>
  <c r="AM81" i="2" s="1"/>
  <c r="AN81" i="2" s="1"/>
  <c r="BD88" i="2"/>
  <c r="BC88" i="2" s="1"/>
  <c r="AF73" i="2"/>
  <c r="AG73" i="2" s="1"/>
  <c r="AH73" i="2" s="1"/>
  <c r="AI73" i="2" s="1"/>
  <c r="AJ73" i="2" s="1"/>
  <c r="AK73" i="2" s="1"/>
  <c r="AL73" i="2" s="1"/>
  <c r="AM73" i="2" s="1"/>
  <c r="AN73" i="2" s="1"/>
  <c r="BD80" i="2"/>
  <c r="AV80" i="2" s="1"/>
  <c r="AF128" i="2"/>
  <c r="AG128" i="2" s="1"/>
  <c r="AH128" i="2" s="1"/>
  <c r="AI128" i="2" s="1"/>
  <c r="AJ128" i="2" s="1"/>
  <c r="AK128" i="2" s="1"/>
  <c r="AL128" i="2" s="1"/>
  <c r="AM128" i="2" s="1"/>
  <c r="AN128" i="2" s="1"/>
  <c r="AF141" i="2"/>
  <c r="AG141" i="2" s="1"/>
  <c r="AH141" i="2" s="1"/>
  <c r="AI141" i="2" s="1"/>
  <c r="AJ141" i="2" s="1"/>
  <c r="AK141" i="2" s="1"/>
  <c r="AL141" i="2" s="1"/>
  <c r="AM141" i="2" s="1"/>
  <c r="AN141" i="2" s="1"/>
  <c r="BD123" i="2"/>
  <c r="BC123" i="2" s="1"/>
  <c r="AF57" i="2"/>
  <c r="AG57" i="2" s="1"/>
  <c r="AH57" i="2" s="1"/>
  <c r="AI57" i="2" s="1"/>
  <c r="AJ57" i="2" s="1"/>
  <c r="AK57" i="2" s="1"/>
  <c r="AL57" i="2" s="1"/>
  <c r="AM57" i="2" s="1"/>
  <c r="AN57" i="2" s="1"/>
  <c r="AF50" i="2"/>
  <c r="AG50" i="2" s="1"/>
  <c r="AH50" i="2" s="1"/>
  <c r="AI50" i="2" s="1"/>
  <c r="AJ50" i="2" s="1"/>
  <c r="AK50" i="2" s="1"/>
  <c r="AL50" i="2" s="1"/>
  <c r="AM50" i="2" s="1"/>
  <c r="AN50" i="2" s="1"/>
  <c r="AZ45" i="2"/>
  <c r="BD33" i="2"/>
  <c r="AU33" i="2" s="1"/>
  <c r="BA70" i="2"/>
  <c r="AF72" i="2"/>
  <c r="AG72" i="2" s="1"/>
  <c r="AH72" i="2" s="1"/>
  <c r="AI72" i="2" s="1"/>
  <c r="AJ72" i="2" s="1"/>
  <c r="AK72" i="2" s="1"/>
  <c r="AL72" i="2" s="1"/>
  <c r="AM72" i="2" s="1"/>
  <c r="AN72" i="2" s="1"/>
  <c r="AF32" i="2"/>
  <c r="AG32" i="2" s="1"/>
  <c r="AH32" i="2" s="1"/>
  <c r="AI32" i="2" s="1"/>
  <c r="AJ32" i="2" s="1"/>
  <c r="AK32" i="2" s="1"/>
  <c r="AL32" i="2" s="1"/>
  <c r="AM32" i="2" s="1"/>
  <c r="AN32" i="2" s="1"/>
  <c r="AX70" i="2"/>
  <c r="AF31" i="2"/>
  <c r="AG31" i="2" s="1"/>
  <c r="AH31" i="2" s="1"/>
  <c r="AI31" i="2" s="1"/>
  <c r="AJ31" i="2" s="1"/>
  <c r="AK31" i="2" s="1"/>
  <c r="AL31" i="2" s="1"/>
  <c r="AM31" i="2" s="1"/>
  <c r="AN31" i="2" s="1"/>
  <c r="AU72" i="2"/>
  <c r="AV72" i="2"/>
  <c r="AY72" i="2"/>
  <c r="BD107" i="2"/>
  <c r="AX107" i="2" s="1"/>
  <c r="AT45" i="2"/>
  <c r="AX45" i="2"/>
  <c r="AR58" i="2"/>
  <c r="BB58" i="2"/>
  <c r="AW58" i="2"/>
  <c r="AF144" i="2"/>
  <c r="AG144" i="2" s="1"/>
  <c r="AH144" i="2" s="1"/>
  <c r="AI144" i="2" s="1"/>
  <c r="AJ144" i="2" s="1"/>
  <c r="AK144" i="2" s="1"/>
  <c r="AL144" i="2" s="1"/>
  <c r="AM144" i="2" s="1"/>
  <c r="AN144" i="2" s="1"/>
  <c r="BD52" i="2"/>
  <c r="AS52" i="2" s="1"/>
  <c r="L22" i="2"/>
  <c r="BD28" i="2"/>
  <c r="BC28" i="2" s="1"/>
  <c r="AV45" i="2"/>
  <c r="AW45" i="2"/>
  <c r="AR45" i="2"/>
  <c r="W373" i="2"/>
  <c r="W374" i="2" s="1"/>
  <c r="BD68" i="2"/>
  <c r="AT68" i="2" s="1"/>
  <c r="AW70" i="2"/>
  <c r="BC70" i="2"/>
  <c r="BA45" i="2"/>
  <c r="AY45" i="2"/>
  <c r="BC45" i="2"/>
  <c r="AF58" i="2"/>
  <c r="AG58" i="2" s="1"/>
  <c r="AH58" i="2" s="1"/>
  <c r="AI58" i="2" s="1"/>
  <c r="AJ58" i="2" s="1"/>
  <c r="AK58" i="2" s="1"/>
  <c r="AL58" i="2" s="1"/>
  <c r="AM58" i="2" s="1"/>
  <c r="AN58" i="2" s="1"/>
  <c r="AU70" i="2"/>
  <c r="AZ70" i="2"/>
  <c r="AS45" i="2"/>
  <c r="BB45" i="2"/>
  <c r="AF143" i="2"/>
  <c r="AG143" i="2" s="1"/>
  <c r="AH143" i="2" s="1"/>
  <c r="AI143" i="2" s="1"/>
  <c r="AJ143" i="2" s="1"/>
  <c r="AK143" i="2" s="1"/>
  <c r="AL143" i="2" s="1"/>
  <c r="AM143" i="2" s="1"/>
  <c r="AN143" i="2" s="1"/>
  <c r="M165" i="2"/>
  <c r="M21" i="2" s="1"/>
  <c r="N163" i="2"/>
  <c r="N168" i="2"/>
  <c r="M169" i="2"/>
  <c r="M22" i="2" s="1"/>
  <c r="AT58" i="2"/>
  <c r="BD129" i="2"/>
  <c r="BB129" i="2" s="1"/>
  <c r="BB70" i="2"/>
  <c r="AV70" i="2"/>
  <c r="BE53" i="2"/>
  <c r="BA121" i="2"/>
  <c r="AV121" i="2"/>
  <c r="BB121" i="2"/>
  <c r="AW121" i="2"/>
  <c r="AS121" i="2"/>
  <c r="AU121" i="2"/>
  <c r="AR121" i="2"/>
  <c r="BC121" i="2"/>
  <c r="AT121" i="2"/>
  <c r="AY121" i="2"/>
  <c r="AZ121" i="2"/>
  <c r="AX121" i="2"/>
  <c r="AR31" i="2"/>
  <c r="BC31" i="2"/>
  <c r="AS31" i="2"/>
  <c r="AW31" i="2"/>
  <c r="BA31" i="2"/>
  <c r="AY31" i="2"/>
  <c r="AU31" i="2"/>
  <c r="AT31" i="2"/>
  <c r="BB31" i="2"/>
  <c r="AV31" i="2"/>
  <c r="AX31" i="2"/>
  <c r="AZ31" i="2"/>
  <c r="BD42" i="2"/>
  <c r="AT42" i="2" s="1"/>
  <c r="AT72" i="2"/>
  <c r="AS70" i="2"/>
  <c r="AY70" i="2"/>
  <c r="O20" i="2"/>
  <c r="P159" i="2"/>
  <c r="Z140" i="2"/>
  <c r="AA140" i="2" s="1"/>
  <c r="AB140" i="2" s="1"/>
  <c r="AC140" i="2" s="1"/>
  <c r="AD140" i="2" s="1"/>
  <c r="AE140" i="2" s="1"/>
  <c r="BD140" i="2" s="1"/>
  <c r="AR72" i="2"/>
  <c r="BC72" i="2"/>
  <c r="AW72" i="2"/>
  <c r="AS72" i="2"/>
  <c r="AX72" i="2"/>
  <c r="BB72" i="2"/>
  <c r="AA162" i="2"/>
  <c r="AM371" i="2"/>
  <c r="AZ72" i="2"/>
  <c r="BA72" i="2"/>
  <c r="AF63" i="2"/>
  <c r="AG63" i="2" s="1"/>
  <c r="AH63" i="2" s="1"/>
  <c r="AI63" i="2" s="1"/>
  <c r="AJ63" i="2" s="1"/>
  <c r="AK63" i="2" s="1"/>
  <c r="AL63" i="2" s="1"/>
  <c r="AM63" i="2" s="1"/>
  <c r="AN63" i="2" s="1"/>
  <c r="P167" i="2"/>
  <c r="P156" i="2"/>
  <c r="O19" i="2"/>
  <c r="Z86" i="2"/>
  <c r="AA86" i="2" s="1"/>
  <c r="AB86" i="2" s="1"/>
  <c r="AC86" i="2" s="1"/>
  <c r="AD86" i="2" s="1"/>
  <c r="AE86" i="2" s="1"/>
  <c r="BD86" i="2" s="1"/>
  <c r="BA58" i="2"/>
  <c r="AX58" i="2"/>
  <c r="AS58" i="2"/>
  <c r="BD64" i="2"/>
  <c r="AV64" i="2" s="1"/>
  <c r="BC58" i="2"/>
  <c r="AV58" i="2"/>
  <c r="AY58" i="2"/>
  <c r="AM329" i="2"/>
  <c r="AZ58" i="2"/>
  <c r="AU58" i="2"/>
  <c r="W378" i="2"/>
  <c r="W379" i="2" s="1"/>
  <c r="Z377" i="2"/>
  <c r="Z385" i="2" s="1"/>
  <c r="W384" i="2"/>
  <c r="Z329" i="2"/>
  <c r="AM377" i="2"/>
  <c r="AM385" i="2" s="1"/>
  <c r="AM376" i="2"/>
  <c r="Z376" i="2"/>
  <c r="Z384" i="2" s="1"/>
  <c r="E155" i="12"/>
  <c r="E140" i="12"/>
  <c r="E142" i="12"/>
  <c r="Z371" i="2"/>
  <c r="M56" i="2"/>
  <c r="AV132" i="2"/>
  <c r="AR132" i="2"/>
  <c r="AZ132" i="2"/>
  <c r="AU132" i="2"/>
  <c r="BB132" i="2"/>
  <c r="BC132" i="2"/>
  <c r="BA132" i="2"/>
  <c r="AT132" i="2"/>
  <c r="AW132" i="2"/>
  <c r="AY132" i="2"/>
  <c r="AS132" i="2"/>
  <c r="AX132" i="2"/>
  <c r="AJ378" i="2"/>
  <c r="AJ379" i="2" s="1"/>
  <c r="AJ384" i="2"/>
  <c r="BC128" i="2"/>
  <c r="AR128" i="2"/>
  <c r="AU128" i="2"/>
  <c r="BA128" i="2"/>
  <c r="AV128" i="2"/>
  <c r="BB128" i="2"/>
  <c r="AY128" i="2"/>
  <c r="AW128" i="2"/>
  <c r="AS128" i="2"/>
  <c r="AT128" i="2"/>
  <c r="AX128" i="2"/>
  <c r="AZ128" i="2"/>
  <c r="AX57" i="2"/>
  <c r="BA57" i="2"/>
  <c r="AS57" i="2"/>
  <c r="AZ57" i="2"/>
  <c r="BB57" i="2"/>
  <c r="AR57" i="2"/>
  <c r="BC57" i="2"/>
  <c r="AW57" i="2"/>
  <c r="AY57" i="2"/>
  <c r="AT57" i="2"/>
  <c r="AV57" i="2"/>
  <c r="AU57" i="2"/>
  <c r="AM276" i="2"/>
  <c r="AM277" i="2" s="1"/>
  <c r="BC141" i="2"/>
  <c r="AS141" i="2"/>
  <c r="AW141" i="2"/>
  <c r="AY141" i="2"/>
  <c r="AR141" i="2"/>
  <c r="BB141" i="2"/>
  <c r="AU141" i="2"/>
  <c r="AT141" i="2"/>
  <c r="AX141" i="2"/>
  <c r="AZ141" i="2"/>
  <c r="AV141" i="2"/>
  <c r="BA141" i="2"/>
  <c r="BA79" i="2"/>
  <c r="AR79" i="2"/>
  <c r="AZ79" i="2"/>
  <c r="AX79" i="2"/>
  <c r="AV79" i="2"/>
  <c r="AS79" i="2"/>
  <c r="AW79" i="2"/>
  <c r="BB79" i="2"/>
  <c r="AY79" i="2"/>
  <c r="AT79" i="2"/>
  <c r="BC79" i="2"/>
  <c r="AU79" i="2"/>
  <c r="BC35" i="2"/>
  <c r="AV35" i="2"/>
  <c r="BB35" i="2"/>
  <c r="AY35" i="2"/>
  <c r="AZ35" i="2"/>
  <c r="BA35" i="2"/>
  <c r="AU35" i="2"/>
  <c r="AS35" i="2"/>
  <c r="AX35" i="2"/>
  <c r="AT35" i="2"/>
  <c r="AR35" i="2"/>
  <c r="AW35" i="2"/>
  <c r="BB89" i="2"/>
  <c r="AZ89" i="2"/>
  <c r="AY89" i="2"/>
  <c r="AW89" i="2"/>
  <c r="AT89" i="2"/>
  <c r="BC89" i="2"/>
  <c r="AV89" i="2"/>
  <c r="BA89" i="2"/>
  <c r="AU89" i="2"/>
  <c r="AR89" i="2"/>
  <c r="AX89" i="2"/>
  <c r="AS89" i="2"/>
  <c r="AW87" i="2"/>
  <c r="AX87" i="2"/>
  <c r="AR87" i="2"/>
  <c r="AU87" i="2"/>
  <c r="BB87" i="2"/>
  <c r="BA87" i="2"/>
  <c r="AY87" i="2"/>
  <c r="BC87" i="2"/>
  <c r="AT87" i="2"/>
  <c r="AS87" i="2"/>
  <c r="AZ87" i="2"/>
  <c r="AV87" i="2"/>
  <c r="AX133" i="2"/>
  <c r="AY133" i="2"/>
  <c r="AR133" i="2"/>
  <c r="BA133" i="2"/>
  <c r="BC133" i="2"/>
  <c r="AS133" i="2"/>
  <c r="AT133" i="2"/>
  <c r="AZ133" i="2"/>
  <c r="AU133" i="2"/>
  <c r="AX34" i="2"/>
  <c r="AW50" i="2"/>
  <c r="AV50" i="2"/>
  <c r="AZ50" i="2"/>
  <c r="AR50" i="2"/>
  <c r="BB50" i="2"/>
  <c r="BA50" i="2"/>
  <c r="AX50" i="2"/>
  <c r="AU50" i="2"/>
  <c r="BC50" i="2"/>
  <c r="AT50" i="2"/>
  <c r="AS50" i="2"/>
  <c r="AY50" i="2"/>
  <c r="AR144" i="2"/>
  <c r="AY144" i="2"/>
  <c r="AV144" i="2"/>
  <c r="AS144" i="2"/>
  <c r="BB144" i="2"/>
  <c r="AX144" i="2"/>
  <c r="AT144" i="2"/>
  <c r="AW144" i="2"/>
  <c r="AU144" i="2"/>
  <c r="BC144" i="2"/>
  <c r="AZ144" i="2"/>
  <c r="BA144" i="2"/>
  <c r="AZ81" i="2"/>
  <c r="BA81" i="2"/>
  <c r="AR81" i="2"/>
  <c r="AX81" i="2"/>
  <c r="AT81" i="2"/>
  <c r="BC81" i="2"/>
  <c r="BB81" i="2"/>
  <c r="AS81" i="2"/>
  <c r="AY81" i="2"/>
  <c r="AU81" i="2"/>
  <c r="AV81" i="2"/>
  <c r="AW81" i="2"/>
  <c r="AW106" i="2"/>
  <c r="BC106" i="2"/>
  <c r="AX106" i="2"/>
  <c r="AS106" i="2"/>
  <c r="BB106" i="2"/>
  <c r="AY106" i="2"/>
  <c r="AU106" i="2"/>
  <c r="AR106" i="2"/>
  <c r="AZ106" i="2"/>
  <c r="AV106" i="2"/>
  <c r="AT106" i="2"/>
  <c r="BA106" i="2"/>
  <c r="AS143" i="2"/>
  <c r="BA143" i="2"/>
  <c r="AY143" i="2"/>
  <c r="AT143" i="2"/>
  <c r="BC143" i="2"/>
  <c r="AZ143" i="2"/>
  <c r="AV143" i="2"/>
  <c r="AR143" i="2"/>
  <c r="AW143" i="2"/>
  <c r="AU143" i="2"/>
  <c r="AX143" i="2"/>
  <c r="BB143" i="2"/>
  <c r="AJ373" i="2"/>
  <c r="AJ374" i="2" s="1"/>
  <c r="AS67" i="2"/>
  <c r="AU67" i="2"/>
  <c r="AR67" i="2"/>
  <c r="AZ67" i="2"/>
  <c r="AY67" i="2"/>
  <c r="AW67" i="2"/>
  <c r="AV67" i="2"/>
  <c r="BC67" i="2"/>
  <c r="AT67" i="2"/>
  <c r="BB67" i="2"/>
  <c r="BA67" i="2"/>
  <c r="AX67" i="2"/>
  <c r="AW73" i="2"/>
  <c r="AU73" i="2"/>
  <c r="BA73" i="2"/>
  <c r="AS73" i="2"/>
  <c r="BC73" i="2"/>
  <c r="AY73" i="2"/>
  <c r="BB73" i="2"/>
  <c r="AZ73" i="2"/>
  <c r="AX73" i="2"/>
  <c r="AR73" i="2"/>
  <c r="AT73" i="2"/>
  <c r="AV73" i="2"/>
  <c r="P27" i="2"/>
  <c r="AZ32" i="2"/>
  <c r="AS32" i="2"/>
  <c r="AW32" i="2"/>
  <c r="AX32" i="2"/>
  <c r="BB32" i="2"/>
  <c r="BA32" i="2"/>
  <c r="AY32" i="2"/>
  <c r="AV32" i="2"/>
  <c r="AR32" i="2"/>
  <c r="AT32" i="2"/>
  <c r="AU32" i="2"/>
  <c r="BC32" i="2"/>
  <c r="P104" i="2"/>
  <c r="AZ63" i="2"/>
  <c r="AY63" i="2"/>
  <c r="AV63" i="2"/>
  <c r="AU63" i="2"/>
  <c r="BA63" i="2"/>
  <c r="AS63" i="2"/>
  <c r="AW63" i="2"/>
  <c r="BB63" i="2"/>
  <c r="AT63" i="2"/>
  <c r="AX63" i="2"/>
  <c r="AR63" i="2"/>
  <c r="BC63" i="2"/>
  <c r="BE135" i="2" l="1"/>
  <c r="BC34" i="2"/>
  <c r="BA34" i="2"/>
  <c r="AV34" i="2"/>
  <c r="AS34" i="2"/>
  <c r="AR34" i="2"/>
  <c r="AW34" i="2"/>
  <c r="AY34" i="2"/>
  <c r="AT34" i="2"/>
  <c r="AZ34" i="2"/>
  <c r="AU34" i="2"/>
  <c r="BB133" i="2"/>
  <c r="AW133" i="2"/>
  <c r="H17" i="2"/>
  <c r="AU29" i="2"/>
  <c r="AU119" i="2"/>
  <c r="AY29" i="2"/>
  <c r="AW29" i="2"/>
  <c r="AT29" i="2"/>
  <c r="AR29" i="2"/>
  <c r="BC29" i="2"/>
  <c r="BA29" i="2"/>
  <c r="AV29" i="2"/>
  <c r="BB29" i="2"/>
  <c r="AS29" i="2"/>
  <c r="AX29" i="2"/>
  <c r="BD43" i="2"/>
  <c r="AT43" i="2" s="1"/>
  <c r="L378" i="2"/>
  <c r="L379" i="2" s="1"/>
  <c r="H378" i="2"/>
  <c r="H379" i="2" s="1"/>
  <c r="AV123" i="2"/>
  <c r="I153" i="2"/>
  <c r="I18" i="2" s="1"/>
  <c r="I378" i="2"/>
  <c r="I379" i="2" s="1"/>
  <c r="AQ117" i="2"/>
  <c r="S117" i="2"/>
  <c r="T117" i="2" s="1"/>
  <c r="U117" i="2" s="1"/>
  <c r="V117" i="2" s="1"/>
  <c r="W117" i="2" s="1"/>
  <c r="X117" i="2" s="1"/>
  <c r="Y117" i="2" s="1"/>
  <c r="Z117" i="2" s="1"/>
  <c r="AA117" i="2" s="1"/>
  <c r="AB117" i="2" s="1"/>
  <c r="AC117" i="2" s="1"/>
  <c r="AD117" i="2" s="1"/>
  <c r="AE117" i="2" s="1"/>
  <c r="S146" i="2"/>
  <c r="T146" i="2" s="1"/>
  <c r="U146" i="2" s="1"/>
  <c r="V146" i="2" s="1"/>
  <c r="W146" i="2" s="1"/>
  <c r="X146" i="2" s="1"/>
  <c r="Y146" i="2" s="1"/>
  <c r="Z146" i="2" s="1"/>
  <c r="AA146" i="2" s="1"/>
  <c r="AB146" i="2" s="1"/>
  <c r="AC146" i="2" s="1"/>
  <c r="AD146" i="2" s="1"/>
  <c r="AE146" i="2" s="1"/>
  <c r="AQ146" i="2"/>
  <c r="S130" i="2"/>
  <c r="T130" i="2" s="1"/>
  <c r="U130" i="2" s="1"/>
  <c r="V130" i="2" s="1"/>
  <c r="W130" i="2" s="1"/>
  <c r="X130" i="2" s="1"/>
  <c r="Y130" i="2" s="1"/>
  <c r="Z130" i="2" s="1"/>
  <c r="AA130" i="2" s="1"/>
  <c r="AB130" i="2" s="1"/>
  <c r="AC130" i="2" s="1"/>
  <c r="AD130" i="2" s="1"/>
  <c r="AE130" i="2" s="1"/>
  <c r="AQ130" i="2"/>
  <c r="AQ115" i="2"/>
  <c r="S115" i="2"/>
  <c r="T115" i="2" s="1"/>
  <c r="U115" i="2" s="1"/>
  <c r="V115" i="2" s="1"/>
  <c r="W115" i="2" s="1"/>
  <c r="X115" i="2" s="1"/>
  <c r="Y115" i="2" s="1"/>
  <c r="Z115" i="2" s="1"/>
  <c r="AA115" i="2" s="1"/>
  <c r="AB115" i="2" s="1"/>
  <c r="AC115" i="2" s="1"/>
  <c r="AD115" i="2" s="1"/>
  <c r="AE115" i="2" s="1"/>
  <c r="AF65" i="2"/>
  <c r="AG65" i="2" s="1"/>
  <c r="AH65" i="2" s="1"/>
  <c r="AI65" i="2" s="1"/>
  <c r="AJ65" i="2" s="1"/>
  <c r="AK65" i="2" s="1"/>
  <c r="AL65" i="2" s="1"/>
  <c r="AM65" i="2" s="1"/>
  <c r="AN65" i="2" s="1"/>
  <c r="BD65" i="2"/>
  <c r="J378" i="2"/>
  <c r="J379" i="2" s="1"/>
  <c r="L38" i="2"/>
  <c r="K100" i="2"/>
  <c r="BE122" i="2"/>
  <c r="K378" i="2"/>
  <c r="K379" i="2" s="1"/>
  <c r="H153" i="2"/>
  <c r="AF48" i="2"/>
  <c r="AG48" i="2" s="1"/>
  <c r="AH48" i="2" s="1"/>
  <c r="AI48" i="2" s="1"/>
  <c r="AJ48" i="2" s="1"/>
  <c r="AK48" i="2" s="1"/>
  <c r="AL48" i="2" s="1"/>
  <c r="AM48" i="2" s="1"/>
  <c r="AN48" i="2" s="1"/>
  <c r="BD48" i="2"/>
  <c r="I171" i="2"/>
  <c r="I172" i="2" s="1"/>
  <c r="I9" i="2"/>
  <c r="I17" i="2"/>
  <c r="J110" i="2"/>
  <c r="J9" i="2"/>
  <c r="J17" i="2"/>
  <c r="M385" i="2"/>
  <c r="M378" i="2"/>
  <c r="M379" i="2" s="1"/>
  <c r="AS88" i="2"/>
  <c r="BA119" i="2"/>
  <c r="BB119" i="2"/>
  <c r="AR119" i="2"/>
  <c r="AT119" i="2"/>
  <c r="AW119" i="2"/>
  <c r="AX119" i="2"/>
  <c r="AY119" i="2"/>
  <c r="AV119" i="2"/>
  <c r="BC119" i="2"/>
  <c r="AZ119" i="2"/>
  <c r="BB123" i="2"/>
  <c r="AR33" i="2"/>
  <c r="AX123" i="2"/>
  <c r="AS80" i="2"/>
  <c r="BB88" i="2"/>
  <c r="AY88" i="2"/>
  <c r="AW80" i="2"/>
  <c r="AX80" i="2"/>
  <c r="BA88" i="2"/>
  <c r="AZ88" i="2"/>
  <c r="AX88" i="2"/>
  <c r="AV88" i="2"/>
  <c r="AT88" i="2"/>
  <c r="AU88" i="2"/>
  <c r="AW88" i="2"/>
  <c r="AR88" i="2"/>
  <c r="BA123" i="2"/>
  <c r="AT123" i="2"/>
  <c r="AR123" i="2"/>
  <c r="AS123" i="2"/>
  <c r="AZ123" i="2"/>
  <c r="AW123" i="2"/>
  <c r="AY123" i="2"/>
  <c r="AU123" i="2"/>
  <c r="AU68" i="2"/>
  <c r="AR68" i="2"/>
  <c r="AY68" i="2"/>
  <c r="AY52" i="2"/>
  <c r="AW68" i="2"/>
  <c r="AU52" i="2"/>
  <c r="AV68" i="2"/>
  <c r="AZ52" i="2"/>
  <c r="BA33" i="2"/>
  <c r="AR80" i="2"/>
  <c r="AU80" i="2"/>
  <c r="BA80" i="2"/>
  <c r="AX33" i="2"/>
  <c r="AT80" i="2"/>
  <c r="BC80" i="2"/>
  <c r="AY80" i="2"/>
  <c r="AV33" i="2"/>
  <c r="AY33" i="2"/>
  <c r="BB80" i="2"/>
  <c r="AZ80" i="2"/>
  <c r="AZ33" i="2"/>
  <c r="BA52" i="2"/>
  <c r="AW33" i="2"/>
  <c r="AS33" i="2"/>
  <c r="BC33" i="2"/>
  <c r="AX68" i="2"/>
  <c r="AZ68" i="2"/>
  <c r="BC52" i="2"/>
  <c r="BC107" i="2"/>
  <c r="AX52" i="2"/>
  <c r="BB52" i="2"/>
  <c r="BC42" i="2"/>
  <c r="BC68" i="2"/>
  <c r="AS68" i="2"/>
  <c r="AT52" i="2"/>
  <c r="AR52" i="2"/>
  <c r="BA107" i="2"/>
  <c r="AS107" i="2"/>
  <c r="AT64" i="2"/>
  <c r="BB33" i="2"/>
  <c r="AT33" i="2"/>
  <c r="BB68" i="2"/>
  <c r="BA68" i="2"/>
  <c r="AY107" i="2"/>
  <c r="BB107" i="2"/>
  <c r="AW52" i="2"/>
  <c r="AV52" i="2"/>
  <c r="AZ107" i="2"/>
  <c r="AR42" i="2"/>
  <c r="AS28" i="2"/>
  <c r="BA42" i="2"/>
  <c r="AX42" i="2"/>
  <c r="AV28" i="2"/>
  <c r="AZ42" i="2"/>
  <c r="AV107" i="2"/>
  <c r="AT107" i="2"/>
  <c r="AR107" i="2"/>
  <c r="AW64" i="2"/>
  <c r="AY42" i="2"/>
  <c r="BB42" i="2"/>
  <c r="AX28" i="2"/>
  <c r="AU107" i="2"/>
  <c r="AW107" i="2"/>
  <c r="AS42" i="2"/>
  <c r="AU42" i="2"/>
  <c r="BE45" i="2"/>
  <c r="BE70" i="2"/>
  <c r="AY28" i="2"/>
  <c r="AU28" i="2"/>
  <c r="AR28" i="2"/>
  <c r="O163" i="2"/>
  <c r="N165" i="2"/>
  <c r="N21" i="2" s="1"/>
  <c r="AX64" i="2"/>
  <c r="AZ28" i="2"/>
  <c r="BA28" i="2"/>
  <c r="BB28" i="2"/>
  <c r="AW129" i="2"/>
  <c r="AF86" i="2"/>
  <c r="AG86" i="2" s="1"/>
  <c r="AH86" i="2" s="1"/>
  <c r="AI86" i="2" s="1"/>
  <c r="AJ86" i="2" s="1"/>
  <c r="AK86" i="2" s="1"/>
  <c r="AL86" i="2" s="1"/>
  <c r="AM86" i="2" s="1"/>
  <c r="AN86" i="2" s="1"/>
  <c r="AW42" i="2"/>
  <c r="AV42" i="2"/>
  <c r="AT28" i="2"/>
  <c r="AW28" i="2"/>
  <c r="AT129" i="2"/>
  <c r="AY129" i="2"/>
  <c r="O168" i="2"/>
  <c r="N169" i="2"/>
  <c r="N22" i="2" s="1"/>
  <c r="BE121" i="2"/>
  <c r="Z378" i="2"/>
  <c r="Z379" i="2" s="1"/>
  <c r="AS129" i="2"/>
  <c r="BC129" i="2"/>
  <c r="BA129" i="2"/>
  <c r="AM378" i="2"/>
  <c r="AM379" i="2" s="1"/>
  <c r="AX129" i="2"/>
  <c r="AU129" i="2"/>
  <c r="AR129" i="2"/>
  <c r="BE72" i="2"/>
  <c r="BE31" i="2"/>
  <c r="AZ129" i="2"/>
  <c r="AV129" i="2"/>
  <c r="AU64" i="2"/>
  <c r="AY64" i="2"/>
  <c r="AZ64" i="2"/>
  <c r="AM373" i="2"/>
  <c r="AM374" i="2" s="1"/>
  <c r="Q159" i="2"/>
  <c r="P20" i="2"/>
  <c r="BA64" i="2"/>
  <c r="AS64" i="2"/>
  <c r="BB64" i="2"/>
  <c r="BC64" i="2"/>
  <c r="AR64" i="2"/>
  <c r="Z373" i="2"/>
  <c r="Z374" i="2" s="1"/>
  <c r="AF140" i="2"/>
  <c r="AG140" i="2" s="1"/>
  <c r="AH140" i="2" s="1"/>
  <c r="AI140" i="2" s="1"/>
  <c r="AJ140" i="2" s="1"/>
  <c r="AK140" i="2" s="1"/>
  <c r="AL140" i="2" s="1"/>
  <c r="AM140" i="2" s="1"/>
  <c r="AN140" i="2" s="1"/>
  <c r="Q167" i="2"/>
  <c r="AB162" i="2"/>
  <c r="Q156" i="2"/>
  <c r="P19" i="2"/>
  <c r="BE58" i="2"/>
  <c r="AM384" i="2"/>
  <c r="BE89" i="2"/>
  <c r="BE79" i="2"/>
  <c r="BE57" i="2"/>
  <c r="BE128" i="2"/>
  <c r="BE132" i="2"/>
  <c r="BE50" i="2"/>
  <c r="BE141" i="2"/>
  <c r="BE63" i="2"/>
  <c r="BE32" i="2"/>
  <c r="BE67" i="2"/>
  <c r="BE73" i="2"/>
  <c r="BE143" i="2"/>
  <c r="BE106" i="2"/>
  <c r="BE87" i="2"/>
  <c r="N56" i="2"/>
  <c r="BE81" i="2"/>
  <c r="BE144" i="2"/>
  <c r="BE35" i="2"/>
  <c r="AF90" i="2"/>
  <c r="AG90" i="2" s="1"/>
  <c r="AH90" i="2" s="1"/>
  <c r="AI90" i="2" s="1"/>
  <c r="AJ90" i="2" s="1"/>
  <c r="AK90" i="2" s="1"/>
  <c r="AL90" i="2" s="1"/>
  <c r="AM90" i="2" s="1"/>
  <c r="AN90" i="2" s="1"/>
  <c r="BD90" i="2"/>
  <c r="BC86" i="2"/>
  <c r="AU86" i="2"/>
  <c r="AS86" i="2"/>
  <c r="AT86" i="2"/>
  <c r="AY86" i="2"/>
  <c r="AR86" i="2"/>
  <c r="AZ86" i="2"/>
  <c r="AV86" i="2"/>
  <c r="AW86" i="2"/>
  <c r="BB86" i="2"/>
  <c r="AX86" i="2"/>
  <c r="BA86" i="2"/>
  <c r="Q27" i="2"/>
  <c r="Q104" i="2"/>
  <c r="AU140" i="2"/>
  <c r="AZ140" i="2"/>
  <c r="AS140" i="2"/>
  <c r="AT140" i="2"/>
  <c r="AW140" i="2"/>
  <c r="BA140" i="2"/>
  <c r="BB140" i="2"/>
  <c r="BC140" i="2"/>
  <c r="AX140" i="2"/>
  <c r="AV140" i="2"/>
  <c r="AR140" i="2"/>
  <c r="AY140" i="2"/>
  <c r="BE34" i="2" l="1"/>
  <c r="BE133" i="2"/>
  <c r="AS43" i="2"/>
  <c r="AR43" i="2"/>
  <c r="AW43" i="2"/>
  <c r="BB43" i="2"/>
  <c r="I10" i="2"/>
  <c r="I11" i="2" s="1"/>
  <c r="AU43" i="2"/>
  <c r="AZ43" i="2"/>
  <c r="BA43" i="2"/>
  <c r="AV43" i="2"/>
  <c r="AY43" i="2"/>
  <c r="AX43" i="2"/>
  <c r="BC43" i="2"/>
  <c r="BE29" i="2"/>
  <c r="I23" i="2"/>
  <c r="I24" i="2" s="1"/>
  <c r="J153" i="2"/>
  <c r="K110" i="2"/>
  <c r="K9" i="2"/>
  <c r="K17" i="2"/>
  <c r="M38" i="2"/>
  <c r="L100" i="2"/>
  <c r="AF115" i="2"/>
  <c r="AG115" i="2" s="1"/>
  <c r="AH115" i="2" s="1"/>
  <c r="AI115" i="2" s="1"/>
  <c r="AJ115" i="2" s="1"/>
  <c r="AK115" i="2" s="1"/>
  <c r="AL115" i="2" s="1"/>
  <c r="AM115" i="2" s="1"/>
  <c r="AN115" i="2" s="1"/>
  <c r="BD115" i="2"/>
  <c r="BD117" i="2"/>
  <c r="AF117" i="2"/>
  <c r="AG117" i="2" s="1"/>
  <c r="AH117" i="2" s="1"/>
  <c r="AI117" i="2" s="1"/>
  <c r="AJ117" i="2" s="1"/>
  <c r="AK117" i="2" s="1"/>
  <c r="AL117" i="2" s="1"/>
  <c r="AM117" i="2" s="1"/>
  <c r="AN117" i="2" s="1"/>
  <c r="H18" i="2"/>
  <c r="H23" i="2" s="1"/>
  <c r="H24" i="2" s="1"/>
  <c r="H10" i="2"/>
  <c r="H11" i="2" s="1"/>
  <c r="H171" i="2"/>
  <c r="H172" i="2" s="1"/>
  <c r="AV48" i="2"/>
  <c r="AS48" i="2"/>
  <c r="AT48" i="2"/>
  <c r="AR48" i="2"/>
  <c r="AY48" i="2"/>
  <c r="AX48" i="2"/>
  <c r="AZ48" i="2"/>
  <c r="BB48" i="2"/>
  <c r="BA48" i="2"/>
  <c r="AU48" i="2"/>
  <c r="AW48" i="2"/>
  <c r="BC48" i="2"/>
  <c r="BD146" i="2"/>
  <c r="AF146" i="2"/>
  <c r="AG146" i="2" s="1"/>
  <c r="AH146" i="2" s="1"/>
  <c r="AI146" i="2" s="1"/>
  <c r="AJ146" i="2" s="1"/>
  <c r="AK146" i="2" s="1"/>
  <c r="AL146" i="2" s="1"/>
  <c r="AM146" i="2" s="1"/>
  <c r="AN146" i="2" s="1"/>
  <c r="AS65" i="2"/>
  <c r="BC65" i="2"/>
  <c r="AU65" i="2"/>
  <c r="AT65" i="2"/>
  <c r="AW65" i="2"/>
  <c r="AV65" i="2"/>
  <c r="BB65" i="2"/>
  <c r="AR65" i="2"/>
  <c r="AZ65" i="2"/>
  <c r="BA65" i="2"/>
  <c r="AX65" i="2"/>
  <c r="AY65" i="2"/>
  <c r="BD130" i="2"/>
  <c r="AF130" i="2"/>
  <c r="AG130" i="2" s="1"/>
  <c r="AH130" i="2" s="1"/>
  <c r="AI130" i="2" s="1"/>
  <c r="AJ130" i="2" s="1"/>
  <c r="AK130" i="2" s="1"/>
  <c r="AL130" i="2" s="1"/>
  <c r="AM130" i="2" s="1"/>
  <c r="AN130" i="2" s="1"/>
  <c r="BE119" i="2"/>
  <c r="BE88" i="2"/>
  <c r="BE123" i="2"/>
  <c r="BE80" i="2"/>
  <c r="BE33" i="2"/>
  <c r="BE52" i="2"/>
  <c r="BE68" i="2"/>
  <c r="BE107" i="2"/>
  <c r="BE42" i="2"/>
  <c r="BE28" i="2"/>
  <c r="BE129" i="2"/>
  <c r="P163" i="2"/>
  <c r="O165" i="2"/>
  <c r="O21" i="2" s="1"/>
  <c r="P168" i="2"/>
  <c r="O169" i="2"/>
  <c r="O22" i="2" s="1"/>
  <c r="BE64" i="2"/>
  <c r="Q20" i="2"/>
  <c r="R159" i="2"/>
  <c r="R167" i="2"/>
  <c r="R156" i="2"/>
  <c r="Q19" i="2"/>
  <c r="AC162" i="2"/>
  <c r="BE86" i="2"/>
  <c r="O56" i="2"/>
  <c r="BE140" i="2"/>
  <c r="R104" i="2"/>
  <c r="R27" i="2"/>
  <c r="AZ90" i="2"/>
  <c r="BB90" i="2"/>
  <c r="AX90" i="2"/>
  <c r="AV90" i="2"/>
  <c r="AY90" i="2"/>
  <c r="AW90" i="2"/>
  <c r="AT90" i="2"/>
  <c r="AU90" i="2"/>
  <c r="AR90" i="2"/>
  <c r="AS90" i="2"/>
  <c r="BA90" i="2"/>
  <c r="BC90" i="2"/>
  <c r="BE43" i="2" l="1"/>
  <c r="BE48" i="2"/>
  <c r="AR130" i="2"/>
  <c r="AS130" i="2"/>
  <c r="AU130" i="2"/>
  <c r="AY130" i="2"/>
  <c r="AV130" i="2"/>
  <c r="AX130" i="2"/>
  <c r="BB130" i="2"/>
  <c r="BA130" i="2"/>
  <c r="AW130" i="2"/>
  <c r="AT130" i="2"/>
  <c r="BC130" i="2"/>
  <c r="AZ130" i="2"/>
  <c r="BA117" i="2"/>
  <c r="AR117" i="2"/>
  <c r="BC117" i="2"/>
  <c r="AV117" i="2"/>
  <c r="AU117" i="2"/>
  <c r="AT117" i="2"/>
  <c r="AS117" i="2"/>
  <c r="AW117" i="2"/>
  <c r="BB117" i="2"/>
  <c r="AX117" i="2"/>
  <c r="AZ117" i="2"/>
  <c r="AY117" i="2"/>
  <c r="N38" i="2"/>
  <c r="M100" i="2"/>
  <c r="AU146" i="2"/>
  <c r="BA146" i="2"/>
  <c r="BB146" i="2"/>
  <c r="AS146" i="2"/>
  <c r="AR146" i="2"/>
  <c r="BC146" i="2"/>
  <c r="AV146" i="2"/>
  <c r="AZ146" i="2"/>
  <c r="AY146" i="2"/>
  <c r="AW146" i="2"/>
  <c r="AX146" i="2"/>
  <c r="AT146" i="2"/>
  <c r="BE65" i="2"/>
  <c r="AT115" i="2"/>
  <c r="BB115" i="2"/>
  <c r="AU115" i="2"/>
  <c r="AX115" i="2"/>
  <c r="AS115" i="2"/>
  <c r="AV115" i="2"/>
  <c r="BA115" i="2"/>
  <c r="AZ115" i="2"/>
  <c r="AW115" i="2"/>
  <c r="BC115" i="2"/>
  <c r="AY115" i="2"/>
  <c r="AR115" i="2"/>
  <c r="K153" i="2"/>
  <c r="L110" i="2"/>
  <c r="J10" i="2"/>
  <c r="J11" i="2" s="1"/>
  <c r="J18" i="2"/>
  <c r="J23" i="2" s="1"/>
  <c r="J24" i="2" s="1"/>
  <c r="J171" i="2"/>
  <c r="J172" i="2" s="1"/>
  <c r="L17" i="2"/>
  <c r="L9" i="2"/>
  <c r="Q168" i="2"/>
  <c r="P169" i="2"/>
  <c r="P22" i="2" s="1"/>
  <c r="P165" i="2"/>
  <c r="P21" i="2" s="1"/>
  <c r="Q163" i="2"/>
  <c r="AQ159" i="2"/>
  <c r="R20" i="2"/>
  <c r="AQ20" i="2" s="1"/>
  <c r="S159" i="2"/>
  <c r="AQ156" i="2"/>
  <c r="S156" i="2"/>
  <c r="R19" i="2"/>
  <c r="AQ19" i="2" s="1"/>
  <c r="AD162" i="2"/>
  <c r="AQ167" i="2"/>
  <c r="S167" i="2"/>
  <c r="BE90" i="2"/>
  <c r="P56" i="2"/>
  <c r="S27" i="2"/>
  <c r="AQ27" i="2"/>
  <c r="S104" i="2"/>
  <c r="AQ104" i="2"/>
  <c r="BE115" i="2" l="1"/>
  <c r="L153" i="2"/>
  <c r="M110" i="2"/>
  <c r="K10" i="2"/>
  <c r="K11" i="2" s="1"/>
  <c r="K18" i="2"/>
  <c r="K23" i="2" s="1"/>
  <c r="K24" i="2" s="1"/>
  <c r="K171" i="2"/>
  <c r="K172" i="2" s="1"/>
  <c r="M9" i="2"/>
  <c r="M17" i="2"/>
  <c r="BE117" i="2"/>
  <c r="O38" i="2"/>
  <c r="N100" i="2"/>
  <c r="BE130" i="2"/>
  <c r="BE146" i="2"/>
  <c r="Q165" i="2"/>
  <c r="Q21" i="2" s="1"/>
  <c r="R163" i="2"/>
  <c r="R168" i="2"/>
  <c r="Q169" i="2"/>
  <c r="Q22" i="2" s="1"/>
  <c r="T159" i="2"/>
  <c r="S20" i="2"/>
  <c r="T167" i="2"/>
  <c r="AE162" i="2"/>
  <c r="S19" i="2"/>
  <c r="T156" i="2"/>
  <c r="Q56" i="2"/>
  <c r="T27" i="2"/>
  <c r="T104" i="2"/>
  <c r="N9" i="2" l="1"/>
  <c r="N17" i="2"/>
  <c r="P38" i="2"/>
  <c r="O100" i="2"/>
  <c r="M153" i="2"/>
  <c r="N110" i="2"/>
  <c r="L18" i="2"/>
  <c r="L23" i="2" s="1"/>
  <c r="L24" i="2" s="1"/>
  <c r="L10" i="2"/>
  <c r="L11" i="2" s="1"/>
  <c r="L171" i="2"/>
  <c r="L172" i="2" s="1"/>
  <c r="S168" i="2"/>
  <c r="AQ168" i="2"/>
  <c r="R169" i="2"/>
  <c r="R22" i="2" s="1"/>
  <c r="AQ22" i="2" s="1"/>
  <c r="R165" i="2"/>
  <c r="R21" i="2" s="1"/>
  <c r="AQ21" i="2" s="1"/>
  <c r="S163" i="2"/>
  <c r="AQ163" i="2"/>
  <c r="AQ165" i="2" s="1"/>
  <c r="U159" i="2"/>
  <c r="T20" i="2"/>
  <c r="U156" i="2"/>
  <c r="T19" i="2"/>
  <c r="BD162" i="2"/>
  <c r="AF162" i="2"/>
  <c r="U167" i="2"/>
  <c r="R56" i="2"/>
  <c r="U104" i="2"/>
  <c r="U27" i="2"/>
  <c r="O110" i="2" l="1"/>
  <c r="N153" i="2"/>
  <c r="O9" i="2"/>
  <c r="O17" i="2"/>
  <c r="M18" i="2"/>
  <c r="M23" i="2" s="1"/>
  <c r="M24" i="2" s="1"/>
  <c r="M10" i="2"/>
  <c r="M11" i="2" s="1"/>
  <c r="M171" i="2"/>
  <c r="M172" i="2" s="1"/>
  <c r="Q38" i="2"/>
  <c r="P100" i="2"/>
  <c r="AQ169" i="2"/>
  <c r="S165" i="2"/>
  <c r="S21" i="2" s="1"/>
  <c r="T163" i="2"/>
  <c r="T168" i="2"/>
  <c r="S169" i="2"/>
  <c r="S22" i="2" s="1"/>
  <c r="U20" i="2"/>
  <c r="V159" i="2"/>
  <c r="V167" i="2"/>
  <c r="AG162" i="2"/>
  <c r="U19" i="2"/>
  <c r="V156" i="2"/>
  <c r="AV162" i="2"/>
  <c r="AS162" i="2"/>
  <c r="AZ162" i="2"/>
  <c r="BC162" i="2"/>
  <c r="BB162" i="2"/>
  <c r="AU162" i="2"/>
  <c r="AT162" i="2"/>
  <c r="AR162" i="2"/>
  <c r="AX162" i="2"/>
  <c r="AW162" i="2"/>
  <c r="AY162" i="2"/>
  <c r="BA162" i="2"/>
  <c r="AQ56" i="2"/>
  <c r="S56" i="2"/>
  <c r="V104" i="2"/>
  <c r="V27" i="2"/>
  <c r="R38" i="2" l="1"/>
  <c r="Q100" i="2"/>
  <c r="N18" i="2"/>
  <c r="N23" i="2" s="1"/>
  <c r="N24" i="2" s="1"/>
  <c r="N10" i="2"/>
  <c r="N11" i="2" s="1"/>
  <c r="N171" i="2"/>
  <c r="N172" i="2" s="1"/>
  <c r="P9" i="2"/>
  <c r="P17" i="2"/>
  <c r="O153" i="2"/>
  <c r="P110" i="2"/>
  <c r="U168" i="2"/>
  <c r="T169" i="2"/>
  <c r="T22" i="2" s="1"/>
  <c r="T165" i="2"/>
  <c r="T21" i="2" s="1"/>
  <c r="U163" i="2"/>
  <c r="W159" i="2"/>
  <c r="V20" i="2"/>
  <c r="BE162" i="2"/>
  <c r="AH162" i="2"/>
  <c r="V19" i="2"/>
  <c r="W156" i="2"/>
  <c r="W167" i="2"/>
  <c r="T56" i="2"/>
  <c r="W27" i="2"/>
  <c r="W104" i="2"/>
  <c r="Q110" i="2" l="1"/>
  <c r="P153" i="2"/>
  <c r="O10" i="2"/>
  <c r="O11" i="2" s="1"/>
  <c r="O18" i="2"/>
  <c r="O23" i="2" s="1"/>
  <c r="O24" i="2" s="1"/>
  <c r="O171" i="2"/>
  <c r="O172" i="2" s="1"/>
  <c r="Q17" i="2"/>
  <c r="Q9" i="2"/>
  <c r="S38" i="2"/>
  <c r="AQ38" i="2"/>
  <c r="R100" i="2"/>
  <c r="V168" i="2"/>
  <c r="U169" i="2"/>
  <c r="U22" i="2" s="1"/>
  <c r="V163" i="2"/>
  <c r="U165" i="2"/>
  <c r="U21" i="2" s="1"/>
  <c r="W20" i="2"/>
  <c r="X159" i="2"/>
  <c r="W19" i="2"/>
  <c r="X156" i="2"/>
  <c r="AI162" i="2"/>
  <c r="X167" i="2"/>
  <c r="U56" i="2"/>
  <c r="X104" i="2"/>
  <c r="X27" i="2"/>
  <c r="AQ100" i="2" l="1"/>
  <c r="T38" i="2"/>
  <c r="S100" i="2"/>
  <c r="P10" i="2"/>
  <c r="P11" i="2" s="1"/>
  <c r="P18" i="2"/>
  <c r="P23" i="2" s="1"/>
  <c r="P24" i="2" s="1"/>
  <c r="P171" i="2"/>
  <c r="P172" i="2" s="1"/>
  <c r="R17" i="2"/>
  <c r="R9" i="2"/>
  <c r="R110" i="2"/>
  <c r="Q153" i="2"/>
  <c r="W168" i="2"/>
  <c r="V169" i="2"/>
  <c r="V22" i="2" s="1"/>
  <c r="W163" i="2"/>
  <c r="V165" i="2"/>
  <c r="V21" i="2" s="1"/>
  <c r="X20" i="2"/>
  <c r="Y159" i="2"/>
  <c r="X19" i="2"/>
  <c r="Y156" i="2"/>
  <c r="Y167" i="2"/>
  <c r="AJ162" i="2"/>
  <c r="V56" i="2"/>
  <c r="Y27" i="2"/>
  <c r="Y104" i="2"/>
  <c r="AQ9" i="2" l="1"/>
  <c r="Q10" i="2"/>
  <c r="Q11" i="2" s="1"/>
  <c r="Q18" i="2"/>
  <c r="Q23" i="2" s="1"/>
  <c r="Q24" i="2" s="1"/>
  <c r="Q171" i="2"/>
  <c r="Q172" i="2" s="1"/>
  <c r="AQ17" i="2"/>
  <c r="S9" i="2"/>
  <c r="S17" i="2"/>
  <c r="AQ110" i="2"/>
  <c r="AQ153" i="2" s="1"/>
  <c r="AQ171" i="2" s="1"/>
  <c r="R153" i="2"/>
  <c r="S110" i="2"/>
  <c r="U38" i="2"/>
  <c r="T100" i="2"/>
  <c r="X168" i="2"/>
  <c r="W169" i="2"/>
  <c r="W22" i="2" s="1"/>
  <c r="W165" i="2"/>
  <c r="W21" i="2" s="1"/>
  <c r="X163" i="2"/>
  <c r="Y20" i="2"/>
  <c r="Z159" i="2"/>
  <c r="Y19" i="2"/>
  <c r="Z156" i="2"/>
  <c r="Z167" i="2"/>
  <c r="AK162" i="2"/>
  <c r="W56" i="2"/>
  <c r="Z27" i="2"/>
  <c r="Z104" i="2"/>
  <c r="T9" i="2" l="1"/>
  <c r="T17" i="2"/>
  <c r="T110" i="2"/>
  <c r="S153" i="2"/>
  <c r="V38" i="2"/>
  <c r="U100" i="2"/>
  <c r="R10" i="2"/>
  <c r="R18" i="2"/>
  <c r="R171" i="2"/>
  <c r="R172" i="2" s="1"/>
  <c r="Y168" i="2"/>
  <c r="X169" i="2"/>
  <c r="X22" i="2" s="1"/>
  <c r="Y163" i="2"/>
  <c r="X165" i="2"/>
  <c r="X21" i="2" s="1"/>
  <c r="Z20" i="2"/>
  <c r="AA159" i="2"/>
  <c r="AL162" i="2"/>
  <c r="Z19" i="2"/>
  <c r="AA156" i="2"/>
  <c r="AA167" i="2"/>
  <c r="X56" i="2"/>
  <c r="AA104" i="2"/>
  <c r="AA27" i="2"/>
  <c r="AQ18" i="2" l="1"/>
  <c r="AQ23" i="2" s="1"/>
  <c r="AQ172" i="2" s="1"/>
  <c r="R23" i="2"/>
  <c r="R24" i="2" s="1"/>
  <c r="AQ10" i="2"/>
  <c r="R11" i="2"/>
  <c r="W38" i="2"/>
  <c r="V100" i="2"/>
  <c r="S18" i="2"/>
  <c r="S23" i="2" s="1"/>
  <c r="S24" i="2" s="1"/>
  <c r="S10" i="2"/>
  <c r="S11" i="2" s="1"/>
  <c r="S171" i="2"/>
  <c r="S172" i="2" s="1"/>
  <c r="U9" i="2"/>
  <c r="U17" i="2"/>
  <c r="U110" i="2"/>
  <c r="T153" i="2"/>
  <c r="Z168" i="2"/>
  <c r="Y169" i="2"/>
  <c r="Y22" i="2" s="1"/>
  <c r="Z163" i="2"/>
  <c r="Y165" i="2"/>
  <c r="Y21" i="2" s="1"/>
  <c r="AA20" i="2"/>
  <c r="AB159" i="2"/>
  <c r="AB156" i="2"/>
  <c r="AA19" i="2"/>
  <c r="AB167" i="2"/>
  <c r="AM162" i="2"/>
  <c r="Y56" i="2"/>
  <c r="AB27" i="2"/>
  <c r="AB104" i="2"/>
  <c r="T10" i="2" l="1"/>
  <c r="T11" i="2" s="1"/>
  <c r="T18" i="2"/>
  <c r="T23" i="2" s="1"/>
  <c r="T24" i="2" s="1"/>
  <c r="T171" i="2"/>
  <c r="T172" i="2" s="1"/>
  <c r="V9" i="2"/>
  <c r="V17" i="2"/>
  <c r="V110" i="2"/>
  <c r="U153" i="2"/>
  <c r="X38" i="2"/>
  <c r="W100" i="2"/>
  <c r="AA168" i="2"/>
  <c r="Z169" i="2"/>
  <c r="Z22" i="2" s="1"/>
  <c r="AA163" i="2"/>
  <c r="Z165" i="2"/>
  <c r="Z21" i="2" s="1"/>
  <c r="AC159" i="2"/>
  <c r="AB20" i="2"/>
  <c r="AN162" i="2"/>
  <c r="AC167" i="2"/>
  <c r="AB19" i="2"/>
  <c r="AC156" i="2"/>
  <c r="Z56" i="2"/>
  <c r="AC104" i="2"/>
  <c r="AC27" i="2"/>
  <c r="U10" i="2" l="1"/>
  <c r="U11" i="2" s="1"/>
  <c r="U18" i="2"/>
  <c r="U23" i="2" s="1"/>
  <c r="U24" i="2" s="1"/>
  <c r="U171" i="2"/>
  <c r="U172" i="2" s="1"/>
  <c r="V153" i="2"/>
  <c r="W110" i="2"/>
  <c r="W17" i="2"/>
  <c r="W9" i="2"/>
  <c r="Y38" i="2"/>
  <c r="X100" i="2"/>
  <c r="AB168" i="2"/>
  <c r="AA169" i="2"/>
  <c r="AA22" i="2" s="1"/>
  <c r="AA165" i="2"/>
  <c r="AA21" i="2" s="1"/>
  <c r="AB163" i="2"/>
  <c r="AD159" i="2"/>
  <c r="AC20" i="2"/>
  <c r="AD156" i="2"/>
  <c r="AC19" i="2"/>
  <c r="AD167" i="2"/>
  <c r="AA56" i="2"/>
  <c r="AD104" i="2"/>
  <c r="AD27" i="2"/>
  <c r="X110" i="2" l="1"/>
  <c r="W153" i="2"/>
  <c r="X9" i="2"/>
  <c r="X17" i="2"/>
  <c r="Z38" i="2"/>
  <c r="Y100" i="2"/>
  <c r="V18" i="2"/>
  <c r="V23" i="2" s="1"/>
  <c r="V24" i="2" s="1"/>
  <c r="V10" i="2"/>
  <c r="V11" i="2" s="1"/>
  <c r="V171" i="2"/>
  <c r="V172" i="2" s="1"/>
  <c r="AC168" i="2"/>
  <c r="AB169" i="2"/>
  <c r="AB22" i="2" s="1"/>
  <c r="AC163" i="2"/>
  <c r="AB165" i="2"/>
  <c r="AB21" i="2" s="1"/>
  <c r="AE159" i="2"/>
  <c r="AD20" i="2"/>
  <c r="AE167" i="2"/>
  <c r="AD19" i="2"/>
  <c r="AE156" i="2"/>
  <c r="AB56" i="2"/>
  <c r="AE104" i="2"/>
  <c r="AE27" i="2"/>
  <c r="W10" i="2" l="1"/>
  <c r="W11" i="2" s="1"/>
  <c r="W18" i="2"/>
  <c r="W23" i="2" s="1"/>
  <c r="W24" i="2" s="1"/>
  <c r="W171" i="2"/>
  <c r="W172" i="2" s="1"/>
  <c r="Y9" i="2"/>
  <c r="Y17" i="2"/>
  <c r="AA38" i="2"/>
  <c r="Z100" i="2"/>
  <c r="Y110" i="2"/>
  <c r="X153" i="2"/>
  <c r="AD168" i="2"/>
  <c r="AC169" i="2"/>
  <c r="AC22" i="2" s="1"/>
  <c r="AD163" i="2"/>
  <c r="AC165" i="2"/>
  <c r="AC21" i="2" s="1"/>
  <c r="BD159" i="2"/>
  <c r="AF159" i="2"/>
  <c r="AE20" i="2"/>
  <c r="BD20" i="2" s="1"/>
  <c r="BD156" i="2"/>
  <c r="AF156" i="2"/>
  <c r="AE19" i="2"/>
  <c r="BD19" i="2" s="1"/>
  <c r="BD167" i="2"/>
  <c r="AF167" i="2"/>
  <c r="AC56" i="2"/>
  <c r="BD104" i="2"/>
  <c r="AF104" i="2"/>
  <c r="AF27" i="2"/>
  <c r="BD27" i="2"/>
  <c r="X10" i="2" l="1"/>
  <c r="X11" i="2" s="1"/>
  <c r="X18" i="2"/>
  <c r="X23" i="2" s="1"/>
  <c r="X24" i="2" s="1"/>
  <c r="X171" i="2"/>
  <c r="X172" i="2" s="1"/>
  <c r="AB38" i="2"/>
  <c r="AA100" i="2"/>
  <c r="Z9" i="2"/>
  <c r="Z17" i="2"/>
  <c r="Z110" i="2"/>
  <c r="Y153" i="2"/>
  <c r="AD165" i="2"/>
  <c r="AD21" i="2" s="1"/>
  <c r="AE163" i="2"/>
  <c r="AE168" i="2"/>
  <c r="AD169" i="2"/>
  <c r="AD22" i="2" s="1"/>
  <c r="AU20" i="2"/>
  <c r="AS20" i="2"/>
  <c r="AR20" i="2"/>
  <c r="BA20" i="2"/>
  <c r="AZ20" i="2"/>
  <c r="AW20" i="2"/>
  <c r="BC20" i="2"/>
  <c r="AY20" i="2"/>
  <c r="BB20" i="2"/>
  <c r="AV20" i="2"/>
  <c r="AX20" i="2"/>
  <c r="AT20" i="2"/>
  <c r="AF20" i="2"/>
  <c r="AG159" i="2"/>
  <c r="BA159" i="2"/>
  <c r="BB159" i="2"/>
  <c r="AV159" i="2"/>
  <c r="AU159" i="2"/>
  <c r="AR159" i="2"/>
  <c r="AS159" i="2"/>
  <c r="AZ159" i="2"/>
  <c r="AY159" i="2"/>
  <c r="AT159" i="2"/>
  <c r="AX159" i="2"/>
  <c r="AW159" i="2"/>
  <c r="BC159" i="2"/>
  <c r="AT167" i="2"/>
  <c r="BB167" i="2"/>
  <c r="AS167" i="2"/>
  <c r="BA167" i="2"/>
  <c r="AW167" i="2"/>
  <c r="AY167" i="2"/>
  <c r="BC167" i="2"/>
  <c r="AX167" i="2"/>
  <c r="AZ167" i="2"/>
  <c r="AV167" i="2"/>
  <c r="AR167" i="2"/>
  <c r="AU167" i="2"/>
  <c r="AW19" i="2"/>
  <c r="AT19" i="2"/>
  <c r="AY19" i="2"/>
  <c r="BB19" i="2"/>
  <c r="AV19" i="2"/>
  <c r="BC19" i="2"/>
  <c r="BA19" i="2"/>
  <c r="AX19" i="2"/>
  <c r="AR19" i="2"/>
  <c r="AS19" i="2"/>
  <c r="AU19" i="2"/>
  <c r="AZ19" i="2"/>
  <c r="AG156" i="2"/>
  <c r="AF19" i="2"/>
  <c r="AG167" i="2"/>
  <c r="AV156" i="2"/>
  <c r="BC156" i="2"/>
  <c r="AW156" i="2"/>
  <c r="AX156" i="2"/>
  <c r="AU156" i="2"/>
  <c r="BB156" i="2"/>
  <c r="AZ156" i="2"/>
  <c r="BA156" i="2"/>
  <c r="AT156" i="2"/>
  <c r="AY156" i="2"/>
  <c r="AR156" i="2"/>
  <c r="AS156" i="2"/>
  <c r="AD56" i="2"/>
  <c r="AG27" i="2"/>
  <c r="AR104" i="2"/>
  <c r="AT104" i="2"/>
  <c r="AW104" i="2"/>
  <c r="BA104" i="2"/>
  <c r="AZ104" i="2"/>
  <c r="BB104" i="2"/>
  <c r="AS104" i="2"/>
  <c r="AU104" i="2"/>
  <c r="AX104" i="2"/>
  <c r="AV104" i="2"/>
  <c r="BC104" i="2"/>
  <c r="AY104" i="2"/>
  <c r="BB27" i="2"/>
  <c r="AR27" i="2"/>
  <c r="AY27" i="2"/>
  <c r="AS27" i="2"/>
  <c r="BC27" i="2"/>
  <c r="AT27" i="2"/>
  <c r="BA27" i="2"/>
  <c r="AZ27" i="2"/>
  <c r="AW27" i="2"/>
  <c r="AX27" i="2"/>
  <c r="AV27" i="2"/>
  <c r="AU27" i="2"/>
  <c r="AG104" i="2"/>
  <c r="Y18" i="2" l="1"/>
  <c r="Y23" i="2" s="1"/>
  <c r="Y24" i="2" s="1"/>
  <c r="Y10" i="2"/>
  <c r="Y11" i="2" s="1"/>
  <c r="Y171" i="2"/>
  <c r="Y172" i="2" s="1"/>
  <c r="AC38" i="2"/>
  <c r="AB100" i="2"/>
  <c r="AA110" i="2"/>
  <c r="Z153" i="2"/>
  <c r="AA9" i="2"/>
  <c r="AA17" i="2"/>
  <c r="AF168" i="2"/>
  <c r="BD168" i="2"/>
  <c r="AE169" i="2"/>
  <c r="AE22" i="2" s="1"/>
  <c r="BD22" i="2" s="1"/>
  <c r="AE165" i="2"/>
  <c r="AE21" i="2" s="1"/>
  <c r="BD21" i="2" s="1"/>
  <c r="BD163" i="2"/>
  <c r="AF163" i="2"/>
  <c r="BE159" i="2"/>
  <c r="BE20" i="2"/>
  <c r="AG20" i="2"/>
  <c r="AH159" i="2"/>
  <c r="BE156" i="2"/>
  <c r="AH167" i="2"/>
  <c r="BE19" i="2"/>
  <c r="AG19" i="2"/>
  <c r="AH156" i="2"/>
  <c r="BE167" i="2"/>
  <c r="BE104" i="2"/>
  <c r="AE56" i="2"/>
  <c r="BE27" i="2"/>
  <c r="AH104" i="2"/>
  <c r="AH27" i="2"/>
  <c r="Z18" i="2" l="1"/>
  <c r="Z23" i="2" s="1"/>
  <c r="Z24" i="2" s="1"/>
  <c r="Z10" i="2"/>
  <c r="Z11" i="2" s="1"/>
  <c r="Z171" i="2"/>
  <c r="Z172" i="2" s="1"/>
  <c r="AB110" i="2"/>
  <c r="AA153" i="2"/>
  <c r="AB9" i="2"/>
  <c r="AB17" i="2"/>
  <c r="AD38" i="2"/>
  <c r="AC100" i="2"/>
  <c r="AX21" i="2"/>
  <c r="AV21" i="2"/>
  <c r="BC21" i="2"/>
  <c r="AW21" i="2"/>
  <c r="AY21" i="2"/>
  <c r="BA21" i="2"/>
  <c r="AR21" i="2"/>
  <c r="AU21" i="2"/>
  <c r="AZ21" i="2"/>
  <c r="AS21" i="2"/>
  <c r="AT21" i="2"/>
  <c r="BB21" i="2"/>
  <c r="AG163" i="2"/>
  <c r="AF165" i="2"/>
  <c r="AF21" i="2" s="1"/>
  <c r="BA168" i="2"/>
  <c r="BA169" i="2" s="1"/>
  <c r="BC168" i="2"/>
  <c r="BC169" i="2" s="1"/>
  <c r="AX168" i="2"/>
  <c r="AX169" i="2" s="1"/>
  <c r="AV168" i="2"/>
  <c r="AV169" i="2" s="1"/>
  <c r="AY168" i="2"/>
  <c r="AY169" i="2" s="1"/>
  <c r="AT168" i="2"/>
  <c r="AT169" i="2" s="1"/>
  <c r="AR168" i="2"/>
  <c r="AZ168" i="2"/>
  <c r="AZ169" i="2" s="1"/>
  <c r="BB168" i="2"/>
  <c r="BB169" i="2" s="1"/>
  <c r="AS168" i="2"/>
  <c r="AS169" i="2" s="1"/>
  <c r="AW168" i="2"/>
  <c r="AW169" i="2" s="1"/>
  <c r="AU168" i="2"/>
  <c r="AU169" i="2" s="1"/>
  <c r="AS163" i="2"/>
  <c r="AS165" i="2" s="1"/>
  <c r="AT163" i="2"/>
  <c r="AT165" i="2" s="1"/>
  <c r="AZ163" i="2"/>
  <c r="AZ165" i="2" s="1"/>
  <c r="AX163" i="2"/>
  <c r="AX165" i="2" s="1"/>
  <c r="AR163" i="2"/>
  <c r="AY163" i="2"/>
  <c r="AY165" i="2" s="1"/>
  <c r="AV163" i="2"/>
  <c r="AV165" i="2" s="1"/>
  <c r="BA163" i="2"/>
  <c r="BA165" i="2" s="1"/>
  <c r="BC163" i="2"/>
  <c r="BC165" i="2" s="1"/>
  <c r="AU163" i="2"/>
  <c r="AU165" i="2" s="1"/>
  <c r="BB163" i="2"/>
  <c r="BB165" i="2" s="1"/>
  <c r="AW163" i="2"/>
  <c r="AW165" i="2" s="1"/>
  <c r="AG168" i="2"/>
  <c r="AF169" i="2"/>
  <c r="AF22" i="2" s="1"/>
  <c r="AW22" i="2"/>
  <c r="AY22" i="2"/>
  <c r="AZ22" i="2"/>
  <c r="AV22" i="2"/>
  <c r="BC22" i="2"/>
  <c r="AR22" i="2"/>
  <c r="AX22" i="2"/>
  <c r="AS22" i="2"/>
  <c r="AU22" i="2"/>
  <c r="BA22" i="2"/>
  <c r="BB22" i="2"/>
  <c r="AT22" i="2"/>
  <c r="AI159" i="2"/>
  <c r="AH20" i="2"/>
  <c r="AI167" i="2"/>
  <c r="AI156" i="2"/>
  <c r="AH19" i="2"/>
  <c r="BD56" i="2"/>
  <c r="AF56" i="2"/>
  <c r="AI27" i="2"/>
  <c r="AI104" i="2"/>
  <c r="AC17" i="2" l="1"/>
  <c r="AC9" i="2"/>
  <c r="AA18" i="2"/>
  <c r="AA23" i="2" s="1"/>
  <c r="AA24" i="2" s="1"/>
  <c r="AA10" i="2"/>
  <c r="AA11" i="2" s="1"/>
  <c r="AA171" i="2"/>
  <c r="AA172" i="2" s="1"/>
  <c r="AE38" i="2"/>
  <c r="AD100" i="2"/>
  <c r="AB153" i="2"/>
  <c r="AC110" i="2"/>
  <c r="BE22" i="2"/>
  <c r="AH168" i="2"/>
  <c r="AG169" i="2"/>
  <c r="AG22" i="2" s="1"/>
  <c r="BE168" i="2"/>
  <c r="BE169" i="2" s="1"/>
  <c r="AR169" i="2"/>
  <c r="AG165" i="2"/>
  <c r="AG21" i="2" s="1"/>
  <c r="AH163" i="2"/>
  <c r="BE21" i="2"/>
  <c r="BE163" i="2"/>
  <c r="BE165" i="2" s="1"/>
  <c r="AR165" i="2"/>
  <c r="AI20" i="2"/>
  <c r="AJ159" i="2"/>
  <c r="AJ156" i="2"/>
  <c r="AI19" i="2"/>
  <c r="AJ167" i="2"/>
  <c r="AY56" i="2"/>
  <c r="AW56" i="2"/>
  <c r="AZ56" i="2"/>
  <c r="AR56" i="2"/>
  <c r="AT56" i="2"/>
  <c r="AV56" i="2"/>
  <c r="BA56" i="2"/>
  <c r="AS56" i="2"/>
  <c r="AX56" i="2"/>
  <c r="AU56" i="2"/>
  <c r="BC56" i="2"/>
  <c r="BB56" i="2"/>
  <c r="AG56" i="2"/>
  <c r="AJ27" i="2"/>
  <c r="AJ104" i="2"/>
  <c r="AC153" i="2" l="1"/>
  <c r="AD110" i="2"/>
  <c r="AF38" i="2"/>
  <c r="BD38" i="2"/>
  <c r="AE100" i="2"/>
  <c r="AB10" i="2"/>
  <c r="AB11" i="2" s="1"/>
  <c r="AB18" i="2"/>
  <c r="AB23" i="2" s="1"/>
  <c r="AB24" i="2" s="1"/>
  <c r="AB171" i="2"/>
  <c r="AB172" i="2" s="1"/>
  <c r="AD17" i="2"/>
  <c r="AD9" i="2"/>
  <c r="AI163" i="2"/>
  <c r="AH165" i="2"/>
  <c r="AH21" i="2" s="1"/>
  <c r="AI168" i="2"/>
  <c r="AH169" i="2"/>
  <c r="AH22" i="2" s="1"/>
  <c r="AK159" i="2"/>
  <c r="AJ20" i="2"/>
  <c r="AK167" i="2"/>
  <c r="AK156" i="2"/>
  <c r="AJ19" i="2"/>
  <c r="BE56" i="2"/>
  <c r="AH56" i="2"/>
  <c r="AK104" i="2"/>
  <c r="AK27" i="2"/>
  <c r="AE17" i="2" l="1"/>
  <c r="AE9" i="2"/>
  <c r="AC18" i="2"/>
  <c r="AC23" i="2" s="1"/>
  <c r="AC24" i="2" s="1"/>
  <c r="AC10" i="2"/>
  <c r="AC11" i="2" s="1"/>
  <c r="AC171" i="2"/>
  <c r="AC172" i="2" s="1"/>
  <c r="AV38" i="2"/>
  <c r="AV100" i="2" s="1"/>
  <c r="AR38" i="2"/>
  <c r="BC38" i="2"/>
  <c r="BC100" i="2" s="1"/>
  <c r="BA38" i="2"/>
  <c r="BA100" i="2" s="1"/>
  <c r="BB38" i="2"/>
  <c r="BB100" i="2" s="1"/>
  <c r="AX38" i="2"/>
  <c r="AX100" i="2" s="1"/>
  <c r="AS38" i="2"/>
  <c r="AS100" i="2" s="1"/>
  <c r="AZ38" i="2"/>
  <c r="AZ100" i="2" s="1"/>
  <c r="AW38" i="2"/>
  <c r="AW100" i="2" s="1"/>
  <c r="AU38" i="2"/>
  <c r="AU100" i="2" s="1"/>
  <c r="AY38" i="2"/>
  <c r="AY100" i="2" s="1"/>
  <c r="AT38" i="2"/>
  <c r="AT100" i="2" s="1"/>
  <c r="AG38" i="2"/>
  <c r="AF100" i="2"/>
  <c r="AD153" i="2"/>
  <c r="AE110" i="2"/>
  <c r="AJ168" i="2"/>
  <c r="AI169" i="2"/>
  <c r="AI22" i="2" s="1"/>
  <c r="AJ163" i="2"/>
  <c r="AI165" i="2"/>
  <c r="AI21" i="2" s="1"/>
  <c r="AK20" i="2"/>
  <c r="AL159" i="2"/>
  <c r="AK19" i="2"/>
  <c r="AL156" i="2"/>
  <c r="AL167" i="2"/>
  <c r="AI56" i="2"/>
  <c r="AL27" i="2"/>
  <c r="AL104" i="2"/>
  <c r="BD110" i="2" l="1"/>
  <c r="AF110" i="2"/>
  <c r="AE153" i="2"/>
  <c r="BD9" i="2"/>
  <c r="AD10" i="2"/>
  <c r="AD11" i="2" s="1"/>
  <c r="AD18" i="2"/>
  <c r="AD23" i="2" s="1"/>
  <c r="AD24" i="2" s="1"/>
  <c r="AD171" i="2"/>
  <c r="AD172" i="2" s="1"/>
  <c r="AF17" i="2"/>
  <c r="AF9" i="2"/>
  <c r="BE38" i="2"/>
  <c r="BE100" i="2" s="1"/>
  <c r="AR100" i="2"/>
  <c r="BD17" i="2"/>
  <c r="AH38" i="2"/>
  <c r="AG100" i="2"/>
  <c r="AK168" i="2"/>
  <c r="AJ169" i="2"/>
  <c r="AJ22" i="2" s="1"/>
  <c r="AK163" i="2"/>
  <c r="AJ165" i="2"/>
  <c r="AJ21" i="2" s="1"/>
  <c r="AM159" i="2"/>
  <c r="AL20" i="2"/>
  <c r="AM156" i="2"/>
  <c r="AL19" i="2"/>
  <c r="AM167" i="2"/>
  <c r="AJ56" i="2"/>
  <c r="AM104" i="2"/>
  <c r="AM27" i="2"/>
  <c r="AG9" i="2" l="1"/>
  <c r="AG17" i="2"/>
  <c r="AI38" i="2"/>
  <c r="AH100" i="2"/>
  <c r="AT9" i="2"/>
  <c r="AZ9" i="2"/>
  <c r="AS9" i="2"/>
  <c r="BB9" i="2"/>
  <c r="BC9" i="2"/>
  <c r="AR9" i="2"/>
  <c r="BA9" i="2"/>
  <c r="AU9" i="2"/>
  <c r="AY9" i="2"/>
  <c r="AW9" i="2"/>
  <c r="AV9" i="2"/>
  <c r="AX9" i="2"/>
  <c r="AE18" i="2"/>
  <c r="AE10" i="2"/>
  <c r="AE171" i="2"/>
  <c r="AE172" i="2" s="1"/>
  <c r="AR17" i="2"/>
  <c r="AY17" i="2"/>
  <c r="AT17" i="2"/>
  <c r="AV17" i="2"/>
  <c r="BA17" i="2"/>
  <c r="AX17" i="2"/>
  <c r="AZ17" i="2"/>
  <c r="BB17" i="2"/>
  <c r="AU17" i="2"/>
  <c r="BC17" i="2"/>
  <c r="AS17" i="2"/>
  <c r="AW17" i="2"/>
  <c r="AG110" i="2"/>
  <c r="AF153" i="2"/>
  <c r="AR110" i="2"/>
  <c r="AT110" i="2"/>
  <c r="AT153" i="2" s="1"/>
  <c r="AT171" i="2" s="1"/>
  <c r="AZ110" i="2"/>
  <c r="AZ153" i="2" s="1"/>
  <c r="AZ171" i="2" s="1"/>
  <c r="AY110" i="2"/>
  <c r="AY153" i="2" s="1"/>
  <c r="AY171" i="2" s="1"/>
  <c r="AV110" i="2"/>
  <c r="AV153" i="2" s="1"/>
  <c r="AV171" i="2" s="1"/>
  <c r="AS110" i="2"/>
  <c r="AS153" i="2" s="1"/>
  <c r="AS171" i="2" s="1"/>
  <c r="BC110" i="2"/>
  <c r="BC153" i="2" s="1"/>
  <c r="BC171" i="2" s="1"/>
  <c r="BB110" i="2"/>
  <c r="BB153" i="2" s="1"/>
  <c r="BB171" i="2" s="1"/>
  <c r="AU110" i="2"/>
  <c r="AU153" i="2" s="1"/>
  <c r="AU171" i="2" s="1"/>
  <c r="BA110" i="2"/>
  <c r="BA153" i="2" s="1"/>
  <c r="BA171" i="2" s="1"/>
  <c r="AW110" i="2"/>
  <c r="AW153" i="2" s="1"/>
  <c r="AW171" i="2" s="1"/>
  <c r="AX110" i="2"/>
  <c r="AX153" i="2" s="1"/>
  <c r="AX171" i="2" s="1"/>
  <c r="AK165" i="2"/>
  <c r="AK21" i="2" s="1"/>
  <c r="AL163" i="2"/>
  <c r="AL168" i="2"/>
  <c r="AK169" i="2"/>
  <c r="AK22" i="2" s="1"/>
  <c r="AM20" i="2"/>
  <c r="AN159" i="2"/>
  <c r="AN20" i="2" s="1"/>
  <c r="AN167" i="2"/>
  <c r="AM19" i="2"/>
  <c r="AN156" i="2"/>
  <c r="AN19" i="2" s="1"/>
  <c r="AK56" i="2"/>
  <c r="AN104" i="2"/>
  <c r="AN27" i="2"/>
  <c r="AR153" i="2" l="1"/>
  <c r="AR171" i="2" s="1"/>
  <c r="BE110" i="2"/>
  <c r="BE153" i="2" s="1"/>
  <c r="BE171" i="2" s="1"/>
  <c r="BE17" i="2"/>
  <c r="AH17" i="2"/>
  <c r="AH9" i="2"/>
  <c r="AF18" i="2"/>
  <c r="AF23" i="2" s="1"/>
  <c r="AF24" i="2" s="1"/>
  <c r="AF10" i="2"/>
  <c r="AF11" i="2" s="1"/>
  <c r="AF171" i="2"/>
  <c r="AF172" i="2" s="1"/>
  <c r="BD10" i="2"/>
  <c r="AE11" i="2"/>
  <c r="BE9" i="2"/>
  <c r="AJ38" i="2"/>
  <c r="AI100" i="2"/>
  <c r="AH110" i="2"/>
  <c r="AG153" i="2"/>
  <c r="BD18" i="2"/>
  <c r="AE23" i="2"/>
  <c r="AE24" i="2" s="1"/>
  <c r="AM163" i="2"/>
  <c r="AL165" i="2"/>
  <c r="AL21" i="2" s="1"/>
  <c r="AM168" i="2"/>
  <c r="AL169" i="2"/>
  <c r="AL22" i="2" s="1"/>
  <c r="AL56" i="2"/>
  <c r="AI110" i="2" l="1"/>
  <c r="AH153" i="2"/>
  <c r="AX18" i="2"/>
  <c r="AX23" i="2" s="1"/>
  <c r="AX172" i="2" s="1"/>
  <c r="AR18" i="2"/>
  <c r="AY18" i="2"/>
  <c r="AY23" i="2" s="1"/>
  <c r="AY172" i="2" s="1"/>
  <c r="AV18" i="2"/>
  <c r="AV23" i="2" s="1"/>
  <c r="AV172" i="2" s="1"/>
  <c r="AW18" i="2"/>
  <c r="AW23" i="2" s="1"/>
  <c r="AW172" i="2" s="1"/>
  <c r="AS18" i="2"/>
  <c r="AS23" i="2" s="1"/>
  <c r="AS172" i="2" s="1"/>
  <c r="AU18" i="2"/>
  <c r="AU23" i="2" s="1"/>
  <c r="AU172" i="2" s="1"/>
  <c r="BA18" i="2"/>
  <c r="BA23" i="2" s="1"/>
  <c r="BA172" i="2" s="1"/>
  <c r="AZ18" i="2"/>
  <c r="AZ23" i="2" s="1"/>
  <c r="AZ172" i="2" s="1"/>
  <c r="BB18" i="2"/>
  <c r="BB23" i="2" s="1"/>
  <c r="BB172" i="2" s="1"/>
  <c r="BC18" i="2"/>
  <c r="BC23" i="2" s="1"/>
  <c r="BC172" i="2" s="1"/>
  <c r="AT18" i="2"/>
  <c r="AT23" i="2" s="1"/>
  <c r="AT172" i="2" s="1"/>
  <c r="BD23" i="2"/>
  <c r="AI9" i="2"/>
  <c r="AI17" i="2"/>
  <c r="AV10" i="2"/>
  <c r="AX10" i="2"/>
  <c r="BC10" i="2"/>
  <c r="AZ10" i="2"/>
  <c r="AS10" i="2"/>
  <c r="AW10" i="2"/>
  <c r="AR10" i="2"/>
  <c r="BB10" i="2"/>
  <c r="AU10" i="2"/>
  <c r="AT10" i="2"/>
  <c r="AY10" i="2"/>
  <c r="BA10" i="2"/>
  <c r="AG18" i="2"/>
  <c r="AG23" i="2" s="1"/>
  <c r="AG24" i="2" s="1"/>
  <c r="AG10" i="2"/>
  <c r="AG11" i="2" s="1"/>
  <c r="AG171" i="2"/>
  <c r="AG172" i="2" s="1"/>
  <c r="AK38" i="2"/>
  <c r="AJ100" i="2"/>
  <c r="AM165" i="2"/>
  <c r="AM21" i="2" s="1"/>
  <c r="AN163" i="2"/>
  <c r="AN165" i="2" s="1"/>
  <c r="AN21" i="2" s="1"/>
  <c r="AN168" i="2"/>
  <c r="AN169" i="2" s="1"/>
  <c r="AN22" i="2" s="1"/>
  <c r="AM169" i="2"/>
  <c r="AM22" i="2" s="1"/>
  <c r="AM56" i="2"/>
  <c r="BE10" i="2" l="1"/>
  <c r="AL38" i="2"/>
  <c r="AK100" i="2"/>
  <c r="BE18" i="2"/>
  <c r="BE23" i="2" s="1"/>
  <c r="BE172" i="2" s="1"/>
  <c r="AR23" i="2"/>
  <c r="AR172" i="2" s="1"/>
  <c r="AJ110" i="2"/>
  <c r="AI153" i="2"/>
  <c r="AH18" i="2"/>
  <c r="AH23" i="2" s="1"/>
  <c r="AH24" i="2" s="1"/>
  <c r="AH10" i="2"/>
  <c r="AH11" i="2" s="1"/>
  <c r="AH171" i="2"/>
  <c r="AH172" i="2" s="1"/>
  <c r="AJ9" i="2"/>
  <c r="AJ17" i="2"/>
  <c r="AN56" i="2"/>
  <c r="AJ153" i="2" l="1"/>
  <c r="AK110" i="2"/>
  <c r="AK9" i="2"/>
  <c r="AK17" i="2"/>
  <c r="AI18" i="2"/>
  <c r="AI23" i="2" s="1"/>
  <c r="AI24" i="2" s="1"/>
  <c r="AI10" i="2"/>
  <c r="AI11" i="2" s="1"/>
  <c r="AI171" i="2"/>
  <c r="AI172" i="2" s="1"/>
  <c r="AM38" i="2"/>
  <c r="AL100" i="2"/>
  <c r="AL110" i="2" l="1"/>
  <c r="AK153" i="2"/>
  <c r="AL17" i="2"/>
  <c r="AL9" i="2"/>
  <c r="AN38" i="2"/>
  <c r="AN100" i="2" s="1"/>
  <c r="AN9" i="2" s="1"/>
  <c r="AM100" i="2"/>
  <c r="AJ18" i="2"/>
  <c r="AJ23" i="2" s="1"/>
  <c r="AJ24" i="2" s="1"/>
  <c r="AJ10" i="2"/>
  <c r="AJ11" i="2" s="1"/>
  <c r="AJ171" i="2"/>
  <c r="AJ172" i="2" s="1"/>
  <c r="AN17" i="2" l="1"/>
  <c r="AM9" i="2"/>
  <c r="AM17" i="2"/>
  <c r="AK18" i="2"/>
  <c r="AK23" i="2" s="1"/>
  <c r="AK24" i="2" s="1"/>
  <c r="AK10" i="2"/>
  <c r="AK11" i="2" s="1"/>
  <c r="AK171" i="2"/>
  <c r="AK172" i="2" s="1"/>
  <c r="AL153" i="2"/>
  <c r="AM110" i="2"/>
  <c r="AN110" i="2" l="1"/>
  <c r="AN153" i="2" s="1"/>
  <c r="AM153" i="2"/>
  <c r="AL18" i="2"/>
  <c r="AL23" i="2" s="1"/>
  <c r="AL24" i="2" s="1"/>
  <c r="AL10" i="2"/>
  <c r="AL11" i="2" s="1"/>
  <c r="AL171" i="2"/>
  <c r="AL172" i="2" s="1"/>
  <c r="AM10" i="2" l="1"/>
  <c r="AM11" i="2" s="1"/>
  <c r="AM18" i="2"/>
  <c r="AM23" i="2" s="1"/>
  <c r="AM24" i="2" s="1"/>
  <c r="AM171" i="2"/>
  <c r="AM172" i="2" s="1"/>
  <c r="AN18" i="2"/>
  <c r="AN23" i="2" s="1"/>
  <c r="AN24" i="2" s="1"/>
  <c r="AN10" i="2"/>
  <c r="AN11" i="2" s="1"/>
  <c r="AN171" i="2"/>
  <c r="AN172" i="2" s="1"/>
</calcChain>
</file>

<file path=xl/sharedStrings.xml><?xml version="1.0" encoding="utf-8"?>
<sst xmlns="http://schemas.openxmlformats.org/spreadsheetml/2006/main" count="2041" uniqueCount="1043">
  <si>
    <t>LG&amp;E </t>
  </si>
  <si>
    <t>Jul 2018</t>
  </si>
  <si>
    <t>Aug 2018</t>
  </si>
  <si>
    <t>Sep 2018</t>
  </si>
  <si>
    <t>Oct 2018</t>
  </si>
  <si>
    <t>Nov 2018</t>
  </si>
  <si>
    <t>Dec 2018</t>
  </si>
  <si>
    <t>Year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</si>
  <si>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</si>
  <si>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</si>
  <si>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</si>
  <si>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</si>
  <si>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</si>
  <si>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</si>
  <si>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</si>
  <si>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</si>
  <si>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</si>
  <si>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</si>
  <si>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</si>
  <si>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</si>
  <si>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Year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</si>
  <si>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</si>
  <si>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</si>
  <si>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</si>
  <si>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</si>
  <si>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</si>
  <si>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</si>
  <si>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</si>
  <si>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</si>
  <si>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</si>
  <si>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</si>
  <si>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</si>
  <si>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</si>
  <si>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Year 2020</t>
  </si>
  <si>
    <t>NET DEFERRED TAXES</t>
  </si>
  <si>
    <t>Activity</t>
  </si>
  <si>
    <t>Deferred Tax Detail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</si>
  <si>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</si>
  <si>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</si>
  <si>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</si>
  <si>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</si>
  <si>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</si>
  <si>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</si>
  <si>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Bonus Depreciation - Federal</t>
  </si>
  <si>
    <t>Book Depreciation</t>
  </si>
  <si>
    <t>CAFC - Federal</t>
  </si>
  <si>
    <t>CAFC - State</t>
  </si>
  <si>
    <t>CIAC - FED</t>
  </si>
  <si>
    <t>CIAC - State</t>
  </si>
  <si>
    <t>CMRG Regulatory Asset</t>
  </si>
  <si>
    <t>Contingency Reserve</t>
  </si>
  <si>
    <t>Cost of Removal</t>
  </si>
  <si>
    <t>Deferred Rent Payable</t>
  </si>
  <si>
    <t>Demand Side Management</t>
  </si>
  <si>
    <t>Demand Side Management - Current</t>
  </si>
  <si>
    <t>Depr Related Book/Tax Diff's PYs Cumulative - Fed</t>
  </si>
  <si>
    <t>Depr Related Book/Tax Diff's PYs Cumulative - St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</si>
  <si>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</si>
  <si>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</si>
  <si>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</si>
  <si>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</si>
  <si>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</si>
  <si>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143 - 190</t>
  </si>
  <si>
    <t>FAS 143 - 283</t>
  </si>
  <si>
    <t>FAS 143 - ARO</t>
  </si>
  <si>
    <t>FAS 87 Pensions</t>
  </si>
  <si>
    <t>Interest Capitalized - Federal</t>
  </si>
  <si>
    <t>Interest Capitalized - State</t>
  </si>
  <si>
    <t>Interest Rate Swaps</t>
  </si>
  <si>
    <t>Interest Rate Swaps - Reg Asset</t>
  </si>
  <si>
    <t>MISO Exit Fees-Transmission</t>
  </si>
  <si>
    <t>Pensions - Regulatory Asset</t>
  </si>
  <si>
    <t>Performance Incentive</t>
  </si>
  <si>
    <t>Post Retirement Ben - Regulatory Asset</t>
  </si>
  <si>
    <t>Prepaid Insurance</t>
  </si>
  <si>
    <t>Regulatory Expenses</t>
  </si>
  <si>
    <t>State Tax Current</t>
  </si>
  <si>
    <t>Swap Termination</t>
  </si>
  <si>
    <t>Tax Depreciation - Federal</t>
  </si>
  <si>
    <t>Tax Depreciation - State</t>
  </si>
  <si>
    <t>TAX REPAIR EXPENSING</t>
  </si>
  <si>
    <t>TC2 Basis Adjustment</t>
  </si>
  <si>
    <t>Tenant Incentive Amortization</t>
  </si>
  <si>
    <t>Unclaimed Checks</t>
  </si>
  <si>
    <t>Vacation Pay</t>
  </si>
  <si>
    <t>Workers Compensation</t>
  </si>
  <si>
    <t>Electric Above the Line Deferred Taxes</t>
  </si>
  <si>
    <t>Capitalized Gas Inventory Costs</t>
  </si>
  <si>
    <t>Gas Line Tracker Reg Asset - Current</t>
  </si>
  <si>
    <t>Line Pack - IRS Audit</t>
  </si>
  <si>
    <t>Purchased Gas Adjustment - Current</t>
  </si>
  <si>
    <t>Gas Above the Line Deferred Taxes</t>
  </si>
  <si>
    <t>Non-Qualified Thrift-BTL</t>
  </si>
  <si>
    <t>Electric Below the Line Deferred Taxes</t>
  </si>
  <si>
    <t>Gas Below the Line Deferred Taxes</t>
  </si>
  <si>
    <t>Total Deferred Taxes</t>
  </si>
  <si>
    <t>Deferred Tax Activity</t>
  </si>
  <si>
    <t>ITC Amortization</t>
  </si>
  <si>
    <t>Total State Tax Depreciation Expense</t>
  </si>
  <si>
    <t>Less State</t>
  </si>
  <si>
    <t>Federal Excess</t>
  </si>
  <si>
    <t>TC2 Basis</t>
  </si>
  <si>
    <t>State Excess</t>
  </si>
  <si>
    <t>FAS 109 Adjustments (Reg)</t>
  </si>
  <si>
    <t>Excess Deferreds</t>
  </si>
  <si>
    <t>Total</t>
  </si>
  <si>
    <t>Tax Impact Only</t>
  </si>
  <si>
    <t>Electric</t>
  </si>
  <si>
    <t>see wp</t>
  </si>
  <si>
    <t>Gas</t>
  </si>
  <si>
    <t>Total Electric and Gas</t>
  </si>
  <si>
    <t>Electric - Regulatory Assets &amp; Liabilities</t>
  </si>
  <si>
    <t>Gas - Regulatory Assets &amp; Liabilities</t>
  </si>
  <si>
    <t>E:[Enter Addbacks as +, Deducts as -]</t>
  </si>
  <si>
    <t>AF:[]</t>
  </si>
  <si>
    <t>K:[]</t>
  </si>
  <si>
    <t xml:space="preserve">   LGE COMMON COMMUNICATION EQUIP MACRS 7 </t>
  </si>
  <si>
    <t xml:space="preserve">   LGE COMMON GENERAL COMP EQUIP SL 5 G/L </t>
  </si>
  <si>
    <t xml:space="preserve">   LGE COMMON GENERAL OTHER MACRS 7 </t>
  </si>
  <si>
    <t xml:space="preserve">   LGE COMMON MISC INTANGIBLE PLT SL 5 </t>
  </si>
  <si>
    <t xml:space="preserve">   LGE COMMON NON DEPRECIABLE </t>
  </si>
  <si>
    <t xml:space="preserve">   LGE COMMON OFFICE FURN MACRS 7 </t>
  </si>
  <si>
    <t xml:space="preserve">   LGE COMMON PERSONAL COMPUTER SL 5 G/L </t>
  </si>
  <si>
    <t xml:space="preserve">   LGE COMMON POWER OP EQUIP SL 5 </t>
  </si>
  <si>
    <t xml:space="preserve">   LGE COMMON SECURITY EQUIP MACRS 7 </t>
  </si>
  <si>
    <t xml:space="preserve">   LGE COMMON STRUCTURE IMPROV MACRS 39 </t>
  </si>
  <si>
    <t xml:space="preserve">   LGE COMMON TRAILERS SL 5 </t>
  </si>
  <si>
    <t xml:space="preserve">   LGE COMMON VINTAGE </t>
  </si>
  <si>
    <t xml:space="preserve">   LGE ELECTRIC CARS TRUCKS SL 5 </t>
  </si>
  <si>
    <t xml:space="preserve">   LGE ELECTRIC DIST MACRS 20 </t>
  </si>
  <si>
    <t xml:space="preserve">   LGE ELECTRIC HYDRO PROD MACRS 20 </t>
  </si>
  <si>
    <t xml:space="preserve">   LGE ELECTRIC MISC INTANGIBLE PLT SLT 5 </t>
  </si>
  <si>
    <t xml:space="preserve">   LGE ELECTRIC NON DEPRECIABLE </t>
  </si>
  <si>
    <t xml:space="preserve">   LGE ELECTRIC OTHER MACRS 7 </t>
  </si>
  <si>
    <t xml:space="preserve">   LGE ELECTRIC OTHER PROD MACRS 15 </t>
  </si>
  <si>
    <t xml:space="preserve">   LGE ELECTRIC POWER OP EQUIP SL 5 </t>
  </si>
  <si>
    <t xml:space="preserve">   LGE ELECTRIC STEAM PROD MACRS 20 </t>
  </si>
  <si>
    <t xml:space="preserve">   LGE ELECTRIC TRAILERS SL 5 </t>
  </si>
  <si>
    <t xml:space="preserve">   LGE ELECTRIC TRANS OTHER MACRS 15 </t>
  </si>
  <si>
    <t xml:space="preserve">   LGE ELECTRIC VINTAGE </t>
  </si>
  <si>
    <t xml:space="preserve">   LGE GAS CARS TRUCKS SL 5 </t>
  </si>
  <si>
    <t xml:space="preserve">   LGE GAS DIST OTHER MACRS 15 </t>
  </si>
  <si>
    <t xml:space="preserve">   LGE GAS MISC INTANGIBLE PLT SLT 5 </t>
  </si>
  <si>
    <t xml:space="preserve">   LGE GAS NON DEPRECIABLE </t>
  </si>
  <si>
    <t xml:space="preserve">   LGE GAS OTHER MACRS 7 </t>
  </si>
  <si>
    <t xml:space="preserve">   LGE GAS POWER OP EQUIP SL 5 </t>
  </si>
  <si>
    <t xml:space="preserve">   LGE GAS TRAILERS SL 5 </t>
  </si>
  <si>
    <t xml:space="preserve">   LGE GAS TRANS OTHER  MACRS 15 </t>
  </si>
  <si>
    <t xml:space="preserve">   LGE GAS TRANS RW SL 84 </t>
  </si>
  <si>
    <t xml:space="preserve">   LGE GAS TRANS RWAY SL 84 </t>
  </si>
  <si>
    <t xml:space="preserve">   LGE GAS UG STOR OTHER MACRS 15 </t>
  </si>
  <si>
    <t xml:space="preserve">   LGE GAS VINTAGE </t>
  </si>
  <si>
    <t xml:space="preserve">   LGE Total ECR </t>
  </si>
  <si>
    <t>Common</t>
  </si>
  <si>
    <t>Note: Split common 70/30 to E/G</t>
  </si>
  <si>
    <t>Electric Tax Depreciation</t>
  </si>
  <si>
    <t>Gas Tax Depreciation</t>
  </si>
  <si>
    <t>Electric %</t>
  </si>
  <si>
    <t>Gas %</t>
  </si>
  <si>
    <t xml:space="preserve">   LGE-1311 - Steam Production - ECR 2009 </t>
  </si>
  <si>
    <t xml:space="preserve">   LGE-1311 - Steam Production - ECR 2011 </t>
  </si>
  <si>
    <t xml:space="preserve">   LGE-1311 - Steam Production - Future Use </t>
  </si>
  <si>
    <t xml:space="preserve">   LGE-1311 - Steam Production - Structures and Improvements </t>
  </si>
  <si>
    <t xml:space="preserve">   LGE-1312 - Steam Production - Boiler Plant Equipment </t>
  </si>
  <si>
    <t xml:space="preserve">   LGE-1312 - Steam Production - ECR 2009 </t>
  </si>
  <si>
    <t xml:space="preserve">   LGE-1312 - Steam Production - ECR 2011 </t>
  </si>
  <si>
    <t xml:space="preserve">   LGE-1312 - Steam Production - ECR Future Plan </t>
  </si>
  <si>
    <t xml:space="preserve">   LGE-1314 - Steam Production - Turbogenerator Units </t>
  </si>
  <si>
    <t xml:space="preserve">   LGE-1315 - Steam Production - Accessory Electric Equipment </t>
  </si>
  <si>
    <t xml:space="preserve">   LGE-1316 - Steam Production - ECR 2011 </t>
  </si>
  <si>
    <t xml:space="preserve">   LGE-1316 - Steam Production - Misc Power Plant Equipment </t>
  </si>
  <si>
    <t xml:space="preserve">   LGE-1331 - Hydro Production - Structures and Improvements </t>
  </si>
  <si>
    <t xml:space="preserve">   LGE-1332 - Hydro Production - Reservoirs, Dams, and Water </t>
  </si>
  <si>
    <t xml:space="preserve">   LGE-1333 - Hydro Production - Water Wheels, Turbine Gen </t>
  </si>
  <si>
    <t xml:space="preserve">   LGE-1334 - Hydro Production - Accessory Electric Equipment </t>
  </si>
  <si>
    <t xml:space="preserve">   LGE-1335 - Hydro Production - Misc Power Plant Equipment </t>
  </si>
  <si>
    <t xml:space="preserve">   LGE-1336 - Hydro Production - Roads, Railroads, and Bridges </t>
  </si>
  <si>
    <t xml:space="preserve">   LGE-1341 - Other Production - Structures and Improvements </t>
  </si>
  <si>
    <t xml:space="preserve">   LGE-1342 - Other Production - Fuel Holders, Producers, Acc </t>
  </si>
  <si>
    <t xml:space="preserve">   LGE-1343 - Other Production - Prime Movers </t>
  </si>
  <si>
    <t xml:space="preserve">   LGE-1344 - Other Production - Generators </t>
  </si>
  <si>
    <t xml:space="preserve">   LGE-1345 - Other Production - Accessory Electric Equipment </t>
  </si>
  <si>
    <t xml:space="preserve">   LGE-1346 - Other Production - Misc Power Plant Equipment </t>
  </si>
  <si>
    <t xml:space="preserve">   LGE-1350 IN - Electric Transmission - Land &amp; Land Rights </t>
  </si>
  <si>
    <t xml:space="preserve">   LGE-1350 KY - Electric Transmission - Land &amp; Land Rights </t>
  </si>
  <si>
    <t xml:space="preserve">   LGE-1352 - Electric Transmission - Structures and Improvements </t>
  </si>
  <si>
    <t xml:space="preserve">   LGE-1352 IN - Electric Transmission - Structures and Improvements </t>
  </si>
  <si>
    <t xml:space="preserve">   LGE-1352 KY - Electric Transmission - Structures and Improvements </t>
  </si>
  <si>
    <t xml:space="preserve">   LGE-1353 - Electric Transmission - Station Equipment </t>
  </si>
  <si>
    <t xml:space="preserve">   LGE-1353 IN - Electric Transmission - Station Equipment </t>
  </si>
  <si>
    <t xml:space="preserve">   LGE-1353 KY - Electric Transmission - Station Equipment </t>
  </si>
  <si>
    <t xml:space="preserve">   LGE-1354 IN - Electric Transmission - Towers and Fixtures </t>
  </si>
  <si>
    <t xml:space="preserve">   LGE-1354 KY - Electric Transmission - Towers and Fixtures </t>
  </si>
  <si>
    <t xml:space="preserve">   LGE-1355 IN - Electric Transmission - Poles and Fixtures </t>
  </si>
  <si>
    <t xml:space="preserve">   LGE-1355 KY - Electric Transmission - Poles and Fixtures </t>
  </si>
  <si>
    <t xml:space="preserve">   LGE-1356 IN - Electric Transmission - OH Conductors and Devices </t>
  </si>
  <si>
    <t xml:space="preserve">   LGE-1356 KY - Electric Transmission - OH Conductors and Devices </t>
  </si>
  <si>
    <t xml:space="preserve">   LGE-1357 - Electric Transmission - Underground Conduit </t>
  </si>
  <si>
    <t xml:space="preserve">   LGE-1358 - Electric Transmission - UG Conductors and Devices </t>
  </si>
  <si>
    <t xml:space="preserve">   LGE-1361 - Electric Distribution - Structures and Improvements </t>
  </si>
  <si>
    <t xml:space="preserve">   LGE-1362 - Electric Distribution - Future Use </t>
  </si>
  <si>
    <t xml:space="preserve">   LGE-1362 KY - Electric Distribution - Station Equipment </t>
  </si>
  <si>
    <t xml:space="preserve">   LGE-1364 - Electric Distribution - Poles, Towers, and Fixtures </t>
  </si>
  <si>
    <t xml:space="preserve">   LGE-1365 - Electric Distribution - OH Conductors and Devices </t>
  </si>
  <si>
    <t xml:space="preserve">   LGE-1366 - Electric Distribution - Underground Conduit </t>
  </si>
  <si>
    <t xml:space="preserve">   LGE-1367 - Electric Distribution - UG Conductors and Devices </t>
  </si>
  <si>
    <t xml:space="preserve">   LGE-1368 - Electric Distribution - Line Transformers </t>
  </si>
  <si>
    <t xml:space="preserve">   LGE-1369 - Electric Distribution - Services </t>
  </si>
  <si>
    <t xml:space="preserve">   LGE-1370 - Electric Distribution - Meters </t>
  </si>
  <si>
    <t xml:space="preserve">   LGE-1373 - Electric Distribution - Street Lighting </t>
  </si>
  <si>
    <t xml:space="preserve">   LGE-1392 - Electric General - Transportation Equipment </t>
  </si>
  <si>
    <t xml:space="preserve">   LGE-1394 - Electric General - Tools, Shop, Garage Equipment </t>
  </si>
  <si>
    <t xml:space="preserve">   LGE-1396 - Electric General - Power Operated Equipment </t>
  </si>
  <si>
    <t xml:space="preserve">   LGE-1397 - Electric General - Communication Equipment DSM </t>
  </si>
  <si>
    <t xml:space="preserve">   LGE-2302 - Gas Intangible - Franchises and Consents </t>
  </si>
  <si>
    <t xml:space="preserve">   LGE-2350 - Gas Storage - Land &amp; Land Rights </t>
  </si>
  <si>
    <t xml:space="preserve">   LGE-2351 - Gas Storage - Structures and Improvements </t>
  </si>
  <si>
    <t xml:space="preserve">   LGE-2351 IN - Gas Storage - Structures and Improvements </t>
  </si>
  <si>
    <t xml:space="preserve">   LGE-2351 KY - Gas Storage - Structures and Improvements </t>
  </si>
  <si>
    <t xml:space="preserve">   LGE-2352 - Gas Storage - Nonrecoverable Natural Gas </t>
  </si>
  <si>
    <t xml:space="preserve">   LGE-2352 IN - Gas Storage - Well Drilling </t>
  </si>
  <si>
    <t xml:space="preserve">   LGE-2352 IN - Gas Storage - Well Equipment </t>
  </si>
  <si>
    <t xml:space="preserve">   LGE-2352 KY - Gas Storage - Well Drilling </t>
  </si>
  <si>
    <t xml:space="preserve">   LGE-2352 KY - Gas Storage - Well Equipment </t>
  </si>
  <si>
    <t xml:space="preserve">   LGE-2353 IN - Gas Storage - Lines. </t>
  </si>
  <si>
    <t xml:space="preserve">   LGE-2353 KY - Gas Storage - Lines. </t>
  </si>
  <si>
    <t xml:space="preserve">   LGE-2354 KY - Gas Storage - Compressor Station Equipment </t>
  </si>
  <si>
    <t xml:space="preserve">   LGE-2355 - Gas Storage - Measuring and Regulating Equipment </t>
  </si>
  <si>
    <t xml:space="preserve">   LGE-2356 - Gas Storage - Purification Equipment </t>
  </si>
  <si>
    <t xml:space="preserve">   LGE-2357 IN - Gas Storage - Other Equipment </t>
  </si>
  <si>
    <t xml:space="preserve">   LGE-2357 KY - Gas Storage - Other Equipment </t>
  </si>
  <si>
    <t xml:space="preserve">   LGE-2365 - Gas Transmission - Rights-of-Way </t>
  </si>
  <si>
    <t xml:space="preserve">   LGE-2367 - Gas Transmission - Mains </t>
  </si>
  <si>
    <t xml:space="preserve">   LGE-2375 - Gas Distribution - Structures and Improvements </t>
  </si>
  <si>
    <t xml:space="preserve">   LGE-2376 - Gas Distribution - Mains </t>
  </si>
  <si>
    <t xml:space="preserve">   LGE-2376 - Gas Mains GLT </t>
  </si>
  <si>
    <t xml:space="preserve">   LGE-2378 - Gas Distribution - Measuring &amp; Reg. Station Equipment - General </t>
  </si>
  <si>
    <t xml:space="preserve">   LGE-2379 - Gas Distribution - Measuring &amp; Reg. Station Equipment - City Gate </t>
  </si>
  <si>
    <t xml:space="preserve">   LGE-2380 - Gas Distribution - Services </t>
  </si>
  <si>
    <t xml:space="preserve">   LGE-2380 - Gas Services GLT </t>
  </si>
  <si>
    <t xml:space="preserve">   LGE-2381 - Gas Distribution - Meters </t>
  </si>
  <si>
    <t xml:space="preserve">   LGE-2383 - Gas Distribution - Regulators </t>
  </si>
  <si>
    <t xml:space="preserve">   LGE-2385 - Gas Distribution - Measuring &amp; Reg. Station Equipment - Industrial </t>
  </si>
  <si>
    <t xml:space="preserve">   LGE-2387 - Gas Distribution - Other Equipment </t>
  </si>
  <si>
    <t xml:space="preserve">   LGE-2392 - Gas General - Transportation Equipment </t>
  </si>
  <si>
    <t xml:space="preserve">   LGE-2394 - Gas General - Tools, Shop, Garage Equipment </t>
  </si>
  <si>
    <t xml:space="preserve">   LGE-2396 - Gas General - Power Operated Equipment </t>
  </si>
  <si>
    <t xml:space="preserve">   LGE-2397 - Gas General - Communication Equipment - DSM </t>
  </si>
  <si>
    <t xml:space="preserve">   LGE-3303 - Common Intangible - Software </t>
  </si>
  <si>
    <t xml:space="preserve">   LGE-3303 - Common Intangible - Software - CCS </t>
  </si>
  <si>
    <t xml:space="preserve">   LGE-3390 - Common General - Structures and Improvements </t>
  </si>
  <si>
    <t xml:space="preserve">   LGE-3391 - Common General - Office Equipment </t>
  </si>
  <si>
    <t xml:space="preserve">   LGE-3392 - Common General - Transportation Equipment </t>
  </si>
  <si>
    <t xml:space="preserve">   LGE-3393 - Common General - Stores Equipment </t>
  </si>
  <si>
    <t xml:space="preserve">   LGE-3394 - Common General - Tools, Shop, Garage Equipment </t>
  </si>
  <si>
    <t xml:space="preserve">   LGE-3396 - Common General - Power Operated Equipment </t>
  </si>
  <si>
    <t xml:space="preserve">   LGE-3397 - Common General - Communication Equipment </t>
  </si>
  <si>
    <t xml:space="preserve">   LGE-3397 - Common General - DSM </t>
  </si>
  <si>
    <t xml:space="preserve">   LGE-3397 IN - Common General - Communication Equipment </t>
  </si>
  <si>
    <t xml:space="preserve">   LGE-3397 KY - Common General - Communication Equipment </t>
  </si>
  <si>
    <t xml:space="preserve">   KY Plant Account Total </t>
  </si>
  <si>
    <t>Excess Deferreds (FAS 109)</t>
  </si>
  <si>
    <t>TC2 Basis (FAS 109)</t>
  </si>
  <si>
    <t>Total Electric</t>
  </si>
  <si>
    <t>Total Gas</t>
  </si>
  <si>
    <t>Summary</t>
  </si>
  <si>
    <t>Contribution Carryforward</t>
  </si>
  <si>
    <t>Effective Tax Rate Adjustment-Deferred</t>
  </si>
  <si>
    <t>Hydro Credit Carryforward</t>
  </si>
  <si>
    <t>NOL - LGE - Federal</t>
  </si>
  <si>
    <t>Obsolete Inventroy</t>
  </si>
  <si>
    <t>Off-System Sales Tracker - Reg Liab</t>
  </si>
  <si>
    <t>Research &amp; Experimental Credits</t>
  </si>
  <si>
    <t>Solar Credit Basis Adjustment</t>
  </si>
  <si>
    <t>Solar Credit Carryforward</t>
  </si>
  <si>
    <t>ITC Basis Adjustment</t>
  </si>
  <si>
    <t>2018</t>
  </si>
  <si>
    <t>2019</t>
  </si>
  <si>
    <t>2020</t>
  </si>
  <si>
    <t>Book Income Before Tax</t>
  </si>
  <si>
    <t>Permanent</t>
  </si>
  <si>
    <t>Nondeductible M&amp;E</t>
  </si>
  <si>
    <t>Medicare Part D subsidy</t>
  </si>
  <si>
    <t>Nondeductible Political Activities</t>
  </si>
  <si>
    <t>Life Insurance Premiums</t>
  </si>
  <si>
    <t>PPL Servco Allocations</t>
  </si>
  <si>
    <t>IRC 199 Manufacturing Deduction - Federal</t>
  </si>
  <si>
    <t>Total for Permanent:</t>
  </si>
  <si>
    <t>Flow-Through</t>
  </si>
  <si>
    <t>AFUDC - EQUITY - FEDERAL</t>
  </si>
  <si>
    <t>Total for Flow-Through:</t>
  </si>
  <si>
    <t>Temporary</t>
  </si>
  <si>
    <t>Purchase accounting timing diffs</t>
  </si>
  <si>
    <t>HMPL Purchased Power</t>
  </si>
  <si>
    <t>Int Rate Swap-Reg Asset</t>
  </si>
  <si>
    <t>Int Rate Swap-Reg Liab</t>
  </si>
  <si>
    <t>Green River Reg Asset</t>
  </si>
  <si>
    <t>Obsolete Inventory</t>
  </si>
  <si>
    <t>Muni - Reg Asset and Liab</t>
  </si>
  <si>
    <t>R&amp;D - misc def debits</t>
  </si>
  <si>
    <t>OST over/under recovery</t>
  </si>
  <si>
    <t>Refined Coal - VA</t>
  </si>
  <si>
    <t>Refined Coal - KY</t>
  </si>
  <si>
    <t>FAS 106 Cost Write-Off (Post Retirement) - Expense</t>
  </si>
  <si>
    <t>FAS 106 Cost Write-Off (Post Retirement) - Payment</t>
  </si>
  <si>
    <t>FAS 87 Pensions - Expense</t>
  </si>
  <si>
    <t>FAS 87 Pensions - Payment</t>
  </si>
  <si>
    <t>VA over/under Recovery Fuel Clause</t>
  </si>
  <si>
    <t>Total for Temporary:</t>
  </si>
  <si>
    <t>Property Related</t>
  </si>
  <si>
    <t>ARO CCR Expenditure</t>
  </si>
  <si>
    <t>ARO CCR Amortization</t>
  </si>
  <si>
    <t>AFUDC-DEBT,REPAIR ALLOW.,MISC BOOK DIFFS-FEDERAL</t>
  </si>
  <si>
    <t>Tax Gain/Loss</t>
  </si>
  <si>
    <t>Total for Property Related:</t>
  </si>
  <si>
    <t>Taxable Income Before State Tax</t>
  </si>
  <si>
    <t>State and Local Current Tax</t>
  </si>
  <si>
    <t>Federal Taxable Income</t>
  </si>
  <si>
    <t>Federal NOL Utilization</t>
  </si>
  <si>
    <t>Federal Taxable Income after NOL</t>
  </si>
  <si>
    <t>Statutory Tax Rate</t>
  </si>
  <si>
    <t>Federal Current Tax</t>
  </si>
  <si>
    <t>Fed-State Differences</t>
  </si>
  <si>
    <t>IRC 199 Manufacturing Deduction - State</t>
  </si>
  <si>
    <t>Total for Fed-State Differences:</t>
  </si>
  <si>
    <t>State Taxable Income</t>
  </si>
  <si>
    <t>State NOL Utilization</t>
  </si>
  <si>
    <t>Calculated Tax</t>
  </si>
  <si>
    <t>Coal Credit</t>
  </si>
  <si>
    <t>State Current Tax</t>
  </si>
  <si>
    <t>Deferred Tax Adjustments</t>
  </si>
  <si>
    <t>Total Federal Timing Difference per Above</t>
  </si>
  <si>
    <t>Deferred State Adjustment</t>
  </si>
  <si>
    <t xml:space="preserve">  Subtotal</t>
  </si>
  <si>
    <t>Federal Income Tax Rate</t>
  </si>
  <si>
    <t>Federal Deferred Adjustments:</t>
  </si>
  <si>
    <t>PY Adjustments</t>
  </si>
  <si>
    <t>Credit Carryforwards (RE and Hydro)</t>
  </si>
  <si>
    <t>Valuation Allowances</t>
  </si>
  <si>
    <t>Excess Deferred</t>
  </si>
  <si>
    <t>TC2 Basis Adjusment</t>
  </si>
  <si>
    <t>Total Federal Deferred Adjustments</t>
  </si>
  <si>
    <t xml:space="preserve">  Federal Deferred Expense</t>
  </si>
  <si>
    <t>Total State Timing Differences</t>
  </si>
  <si>
    <t>Apportionment Factor</t>
  </si>
  <si>
    <t xml:space="preserve"> State Timing Differences after apport.</t>
  </si>
  <si>
    <t>State Income Tax Rate</t>
  </si>
  <si>
    <t>State Deferred Adjustments:</t>
  </si>
  <si>
    <t>Total State Deferred Adjustments</t>
  </si>
  <si>
    <t xml:space="preserve">  State Deferred Expense</t>
  </si>
  <si>
    <t>YTD Pre-Tax Income per books as reported</t>
  </si>
  <si>
    <t>Total Current Federal Tax Expense</t>
  </si>
  <si>
    <t>Total Current State Tax Expense</t>
  </si>
  <si>
    <t>Total Deferred Federal Tax Expense</t>
  </si>
  <si>
    <t>Total Deferred State Tax Expense</t>
  </si>
  <si>
    <t>ITC</t>
  </si>
  <si>
    <t xml:space="preserve">     TOTAL</t>
  </si>
  <si>
    <t>Net Income after Tax</t>
  </si>
  <si>
    <t>Effective Tax Rate</t>
  </si>
  <si>
    <t>UI Planner Check Digits</t>
  </si>
  <si>
    <t>Federal Current Tax Check Digit</t>
  </si>
  <si>
    <t>State Current Tax Check Digit</t>
  </si>
  <si>
    <t>Total Tax Check Digit</t>
  </si>
  <si>
    <t>Check to Income Statement</t>
  </si>
  <si>
    <t>JZ:[Income before Income Taxes]</t>
  </si>
  <si>
    <t>KA:[]</t>
  </si>
  <si>
    <t>KB:[Income Taxes]</t>
  </si>
  <si>
    <t xml:space="preserve">     KC:[Provision-Federal]</t>
  </si>
  <si>
    <t xml:space="preserve">     KD:[Provision -State]</t>
  </si>
  <si>
    <t xml:space="preserve">     KE:[Provision for Foreign Taxes]</t>
  </si>
  <si>
    <t xml:space="preserve">     KF:[Deferred Income Taxes]</t>
  </si>
  <si>
    <t>KG:[Income Taxes]</t>
  </si>
  <si>
    <t>Year</t>
  </si>
  <si>
    <t>LG&amp;E</t>
  </si>
  <si>
    <t>Income Tax Detail</t>
  </si>
  <si>
    <t>Pretax Income</t>
  </si>
  <si>
    <t>KY Section 199 Manufacturing Deduction - Federal</t>
  </si>
  <si>
    <t>Federal NOL Adjustment (Utilization)</t>
  </si>
  <si>
    <t>Less: State Income Tax Current</t>
  </si>
  <si>
    <t>Federal Income Tax - Current</t>
  </si>
  <si>
    <t>Tax-Schedule M (Fed &amp; State)</t>
  </si>
  <si>
    <t>F:[Logic to Pull Pension and Post Retirement Funding from next year]</t>
  </si>
  <si>
    <t>G:[Timing - KY Pension Cash Payment]</t>
  </si>
  <si>
    <t>H:[Timing- KY Post Retirement VEBA Cash Payment]</t>
  </si>
  <si>
    <t>I:[Timing- KY Post Retirement 401(h) Cash Payment]</t>
  </si>
  <si>
    <t>J:[Timing- KY Post Retirement 401(h) Cash Payment- next year's payment]</t>
  </si>
  <si>
    <t>L:[Permanent Differences - Federal &amp; State:]</t>
  </si>
  <si>
    <t>M:[Permanent - ESOP Dividends included in O&amp;M]</t>
  </si>
  <si>
    <t>N:[Permanent - Business Meals Disallowed, lobbying &amp; penalties]</t>
  </si>
  <si>
    <t>O:[Permanent - Medicare Part D subsidy]</t>
  </si>
  <si>
    <t>P:[Permanent - Political Activities]</t>
  </si>
  <si>
    <t>Q:[Permanent - Life Insurance]</t>
  </si>
  <si>
    <t>R:[Permanent - Mgmt Challenge]</t>
  </si>
  <si>
    <t>S:[Permanent - Tax Exempt interest - auction rate securities]</t>
  </si>
  <si>
    <t>T:[Permanent - ESOP Dividends Paid in Cash]</t>
  </si>
  <si>
    <t>U:[Permanent - Equity Earnings of Subs - Affiliated]</t>
  </si>
  <si>
    <t>V:[Permanent - AFUDC Equity Interest]</t>
  </si>
  <si>
    <t>W:[Permanent - AFUDC Equity Depreciation]</t>
  </si>
  <si>
    <t>X:[Sale of Asset - adjustment]</t>
  </si>
  <si>
    <t>Y:[Total Permanent Differences - Federal &amp; State]</t>
  </si>
  <si>
    <t>Z:[]</t>
  </si>
  <si>
    <t>AA:[Permanent Differences - Federal Only:]</t>
  </si>
  <si>
    <t>AB:[Permanent - Equity Earnings of Subs (KU EEI Divd))]</t>
  </si>
  <si>
    <t>AC:[TotalPermanent Differences - Federal Only]</t>
  </si>
  <si>
    <t>AD:[]</t>
  </si>
  <si>
    <t>AE:[Total Permanent Differences - Federal &amp; State and Federal Only]</t>
  </si>
  <si>
    <t>AG:[Temporary Differences - Federal &amp; State - Calc Deferred Tax:]</t>
  </si>
  <si>
    <t>AK:[Timing - ARO CCR Expenditure]</t>
  </si>
  <si>
    <t>AL:[Timing - ARO CCR Amortization]</t>
  </si>
  <si>
    <t>AW:[Timing - Obsolete Inventory]</t>
  </si>
  <si>
    <t>AY:[Timing - Other]</t>
  </si>
  <si>
    <t>BC:[Timing - Loss on Disposition of Property]</t>
  </si>
  <si>
    <t>BE:[Timing - Conbributins in Aid of Construction (CIAC)]</t>
  </si>
  <si>
    <t>BT:[Timing - AFUDC Debt]</t>
  </si>
  <si>
    <t>CH:[Timing - Pension Cash Payment]</t>
  </si>
  <si>
    <t>CK:[Timing - Rescrh/Dev/Demo - misc def debits]</t>
  </si>
  <si>
    <t>CL:[Timing - AFUDC Debt Depreciation (KPSC Only)]</t>
  </si>
  <si>
    <t>CM:[Timing - KY Book Depreciation]</t>
  </si>
  <si>
    <t>CN:[Timing - KY Cost of Removal]</t>
  </si>
  <si>
    <t>CO:[Timing - KY Pension Expense Book]</t>
  </si>
  <si>
    <t>CP:[Timing - KY Pension Cash Payment 12 month forward]</t>
  </si>
  <si>
    <t>CQ:[Timing - KY Postretirement Expense Book]</t>
  </si>
  <si>
    <t>CR:[Timing - KY Postretirement Cash Payment (CY VEBA, NY 401(h))]</t>
  </si>
  <si>
    <t>CS:[Timing - KY EEI Inc/Divd Diff]</t>
  </si>
  <si>
    <t>CT:[Timing- KY EEI Impairement]</t>
  </si>
  <si>
    <t>CU:[Timing - KY Repairs Deduction]</t>
  </si>
  <si>
    <t>CV:[Timing - KY Capitalized Interest]</t>
  </si>
  <si>
    <t>CW:[Timing - KY Reg Assets]</t>
  </si>
  <si>
    <t>CX:[Timing - KY Reg Liabilities]</t>
  </si>
  <si>
    <t>DF:[Total Temporary Differences - Federal &amp; State - Calc Deferred Tax]</t>
  </si>
  <si>
    <t>DI:[Timing - KY Federal Tax Depreciation]</t>
  </si>
  <si>
    <t>DJ:[Timing - Reverse gain in sale of TBC]</t>
  </si>
  <si>
    <t>DK:[Timing - Gain on reacquisition of debt in 2009]</t>
  </si>
  <si>
    <t>DL:[Total Temporary Differences - Federal only - Calc Deferred Tax]</t>
  </si>
  <si>
    <t>DN:[Total For Deferred Tax:]</t>
  </si>
  <si>
    <t>DZ:[Total Temporary Differences - Federal &amp; State]</t>
  </si>
  <si>
    <t>EA:[Total Temporary Differences - Federal Only]</t>
  </si>
  <si>
    <t>EB:[Total Temporary Differences]</t>
  </si>
  <si>
    <t>EE:[Adj Tax - Amortize Investment Tax Credit]</t>
  </si>
  <si>
    <t>EF:[Gross Federal ITC Amoritzation - Old ITC/Job Development Credit]</t>
  </si>
  <si>
    <t>EO:[Total Tax Adjustments]</t>
  </si>
  <si>
    <t>FC:[Average CWIP Balance]</t>
  </si>
  <si>
    <t>FD:[Embedded Cost of Debt]</t>
  </si>
  <si>
    <t>FF:[ITC Credit]</t>
  </si>
  <si>
    <t>FG:[ITC  Credit]</t>
  </si>
  <si>
    <t>FH:[Equity Earnings of Subs (KU EEI Dividends)]</t>
  </si>
  <si>
    <t>FI:[Export Total Temporary state only]</t>
  </si>
  <si>
    <t>FJ:[Export Total Temporary state only]</t>
  </si>
  <si>
    <t>FK:[Export Total Temp differences Fed and State]</t>
  </si>
  <si>
    <t>FL:[Export Timing - KY Federal Tax Depreciation]</t>
  </si>
  <si>
    <t>KY Reg Assets &amp; Liabilities</t>
  </si>
  <si>
    <t>KY Tax Depreciation</t>
  </si>
  <si>
    <t>Total Federal Bonus Tax Depreciation</t>
  </si>
  <si>
    <t>Federal Tax Depreciation (excl Bonus)</t>
  </si>
  <si>
    <t>State Vintage Tax Depreciation on ECR Adds</t>
  </si>
  <si>
    <t>State Vintage Tax Depreciation on GLT Adds</t>
  </si>
  <si>
    <t>Income Tax - State</t>
  </si>
  <si>
    <t>KY</t>
  </si>
  <si>
    <t>KY 199 Manufacturing Deduction - State</t>
  </si>
  <si>
    <t>State ITC/(Coal credits)_x001C_</t>
  </si>
  <si>
    <t>Effective Tax Rate Report</t>
  </si>
  <si>
    <t>Federal Credit (R&amp;E, Hybrid, etc.)</t>
  </si>
  <si>
    <t>Federal Excess Deferred Taxes (net of fed ben)</t>
  </si>
  <si>
    <t>Investment Tax Credit Adjustment - Fed Basis Adj</t>
  </si>
  <si>
    <t>Investment Tax Credit Adjustment</t>
  </si>
  <si>
    <t>Jobs Development/ITC</t>
  </si>
  <si>
    <t>State Excess Deferred Taxes</t>
  </si>
  <si>
    <t>Investment Tax Credit Adjustment - State Basis Adj</t>
  </si>
  <si>
    <t>FAS 109 RATE(S) INFORMATIONAL:</t>
  </si>
  <si>
    <t>JURISDICTIONS:</t>
  </si>
  <si>
    <t>RATES</t>
  </si>
  <si>
    <t>FEDERAL</t>
  </si>
  <si>
    <t>Company</t>
  </si>
  <si>
    <t>0100</t>
  </si>
  <si>
    <t>STATE</t>
  </si>
  <si>
    <t>Account</t>
  </si>
  <si>
    <t>FEDERAL DEDUCT OF STATE</t>
  </si>
  <si>
    <t>182328</t>
  </si>
  <si>
    <t>TOTAL FAS 109 COMPOSITE</t>
  </si>
  <si>
    <t>182329</t>
  </si>
  <si>
    <t>182330</t>
  </si>
  <si>
    <t>REGULATED COMPANY:</t>
  </si>
  <si>
    <t>182331</t>
  </si>
  <si>
    <t>REGULATORY ASSET/LIAB GROSSUP COMPUTATION</t>
  </si>
  <si>
    <t>254001</t>
  </si>
  <si>
    <t>254002</t>
  </si>
  <si>
    <t>TOTAL REGULATORY FACTOR</t>
  </si>
  <si>
    <t>254003</t>
  </si>
  <si>
    <t>254004</t>
  </si>
  <si>
    <t>NOTE: 1/(1-FAS 109 COMPOSITE)</t>
  </si>
  <si>
    <t>Sum</t>
  </si>
  <si>
    <t>GROSSUP ONLY FACTOR</t>
  </si>
  <si>
    <t>NOTE: 1/(1-FAS 109 COMPOSITE) - 1</t>
  </si>
  <si>
    <t>ITC Basis Adjustments</t>
  </si>
  <si>
    <t>Total Reg Movement</t>
  </si>
  <si>
    <t>Ending Balance</t>
  </si>
  <si>
    <t>Hydro and R&amp;E Credits</t>
  </si>
  <si>
    <t>Louisville Gas &amp; Electric Company</t>
  </si>
  <si>
    <t>E&amp;G Splits for Timing Diffs</t>
  </si>
  <si>
    <t>Source</t>
  </si>
  <si>
    <t>Use Book Depr Allocation</t>
  </si>
  <si>
    <t>LGE Balance Sheet (Monthly)</t>
  </si>
  <si>
    <t>Per UI Planner</t>
  </si>
  <si>
    <t>LGE Balance Sheet (Monthly) - Monthly Balances</t>
  </si>
  <si>
    <t>100% Electric Account</t>
  </si>
  <si>
    <t>100% Gas Account</t>
  </si>
  <si>
    <t>Use ITC Amortization workpapers</t>
  </si>
  <si>
    <t>Dependent on Taxable Income</t>
  </si>
  <si>
    <t>Description Above</t>
  </si>
  <si>
    <t>EI:[end if]</t>
  </si>
  <si>
    <t>FM:[]</t>
  </si>
  <si>
    <t>FN:[]</t>
  </si>
  <si>
    <t>CCR Pond Closures</t>
  </si>
  <si>
    <t>Electric Deferred Tax Expense</t>
  </si>
  <si>
    <t>Gas Deferred Tax Expense</t>
  </si>
  <si>
    <t>335/365</t>
  </si>
  <si>
    <t>304/365</t>
  </si>
  <si>
    <t>274/365</t>
  </si>
  <si>
    <t>243/365</t>
  </si>
  <si>
    <t>213/365</t>
  </si>
  <si>
    <t>182/365</t>
  </si>
  <si>
    <t>151/365</t>
  </si>
  <si>
    <t>123/365</t>
  </si>
  <si>
    <t>92/365</t>
  </si>
  <si>
    <t>62/365</t>
  </si>
  <si>
    <t>31/365</t>
  </si>
  <si>
    <t>1/365</t>
  </si>
  <si>
    <t>100% Electric Account - Account 182344</t>
  </si>
  <si>
    <t>BP:[Timing - Swap Liability Termination]</t>
  </si>
  <si>
    <t>BS:[Timing - Terminating Loss on Reaquired debt balance]</t>
  </si>
  <si>
    <t xml:space="preserve">   LGE ELECTRIC OTHER PROD MACRS 20 </t>
  </si>
  <si>
    <t xml:space="preserve">   LGE ELECTRIC OTHER PROD MACRS 5 </t>
  </si>
  <si>
    <t xml:space="preserve">   LGE OTHER PROD MACRS 5 - 15% DEPR BASIS ADJ </t>
  </si>
  <si>
    <t>BF:[Total Depreciation Expense]</t>
  </si>
  <si>
    <t xml:space="preserve">   LGE-1301 - Electric Intangible - Organization </t>
  </si>
  <si>
    <t xml:space="preserve">   LGE-1302 - Electric Intangible - Franchises and Consents </t>
  </si>
  <si>
    <t xml:space="preserve">   LGE-1310 - Steam Production - ECR 2005 </t>
  </si>
  <si>
    <t xml:space="preserve">   LGE-1310 - Steam Production - ECR 2009 </t>
  </si>
  <si>
    <t xml:space="preserve">   LGE-1310 - Steam Production - ECR 2011 </t>
  </si>
  <si>
    <t xml:space="preserve">   LGE-1310 - Steam Production - Future Use </t>
  </si>
  <si>
    <t xml:space="preserve">   LGE-1310 - Steam Production - Land &amp; Land Rights </t>
  </si>
  <si>
    <t xml:space="preserve">   LGE-1311 - Steam Production - ECR 2005 </t>
  </si>
  <si>
    <t xml:space="preserve">   LGE-1311 - Steam Production - ECR 2006 </t>
  </si>
  <si>
    <t xml:space="preserve">   LGE-1312 - Steam Production - 102 </t>
  </si>
  <si>
    <t xml:space="preserve">   LGE-1312 - Steam Production - ECR 2005 </t>
  </si>
  <si>
    <t xml:space="preserve">   LGE-1312 - Steam Production - ECR 2006 </t>
  </si>
  <si>
    <t xml:space="preserve">   LGE-1312 - Steam Production - ECR 2016 </t>
  </si>
  <si>
    <t xml:space="preserve">   LGE-1312 - Steam Production - ECR 2018 </t>
  </si>
  <si>
    <t xml:space="preserve">   LGE-1312 - Steam Production - Future Use </t>
  </si>
  <si>
    <t xml:space="preserve">   LGE-1314 - Steam Production - Future Use </t>
  </si>
  <si>
    <t xml:space="preserve">   LGE-1315 - Steam Production - ECR 2005 </t>
  </si>
  <si>
    <t xml:space="preserve">   LGE-1315 - Steam Production - ECR 2006 </t>
  </si>
  <si>
    <t xml:space="preserve">   LGE-1315 - Steam Production - ECR 2009 </t>
  </si>
  <si>
    <t xml:space="preserve">   LGE-1315 - Steam Production - ECR 2011 </t>
  </si>
  <si>
    <t xml:space="preserve">   LGE-1315 - Steam Production - Future Use </t>
  </si>
  <si>
    <t xml:space="preserve">   LGE-1316 - Steam Production - ECR 2009 </t>
  </si>
  <si>
    <t xml:space="preserve">   LGE-1330 - Hydro Production - Land &amp; Land Rights </t>
  </si>
  <si>
    <t xml:space="preserve">   LGE-1340 - Other Production - Future Use </t>
  </si>
  <si>
    <t xml:space="preserve">   LGE-1340 - Other Production - Land &amp; Land Rights </t>
  </si>
  <si>
    <t xml:space="preserve">   LGE-1341 - Other Production - Structures and Improvements CCGT </t>
  </si>
  <si>
    <t xml:space="preserve">   LGE-1341 - Other Production - Structures and Improvements Solar </t>
  </si>
  <si>
    <t xml:space="preserve">   LGE-1342 - Other Production - Fuel Holders, Producers, Acc CCGT </t>
  </si>
  <si>
    <t xml:space="preserve">   LGE-1342 - Other Production - Gas Pipe Line </t>
  </si>
  <si>
    <t xml:space="preserve">   LGE-1343 - Other Production - Prime Movers CCGT </t>
  </si>
  <si>
    <t xml:space="preserve">   LGE-1344 - Other Production - Generators CCGT </t>
  </si>
  <si>
    <t xml:space="preserve">   LGE-1344 - Other Production - Generators Solar </t>
  </si>
  <si>
    <t xml:space="preserve">   LGE-1345 - Other Production - Accessory Electric Equipment CCGT </t>
  </si>
  <si>
    <t xml:space="preserve">   LGE-1345 - Other Production - Accessory Electric Equipment Solar </t>
  </si>
  <si>
    <t xml:space="preserve">   LGE-1346 - Other Production - Misc Power Plant Equipment CCGT </t>
  </si>
  <si>
    <t xml:space="preserve">   LGE-1346 - Other Production - Misc Power Plant Equipment Solar </t>
  </si>
  <si>
    <t xml:space="preserve">   LGE-1356 - Electric Transmission - OH Conductors and Devices </t>
  </si>
  <si>
    <t xml:space="preserve">   LGE-1360 - Electric Distribution - Future Use </t>
  </si>
  <si>
    <t xml:space="preserve">   LGE-1360 - Electric Distribution - Land &amp; Land Rights </t>
  </si>
  <si>
    <t xml:space="preserve">   LGE-1362 - Electric Distribution - Station Equipment </t>
  </si>
  <si>
    <t xml:space="preserve">   LGE-1362 IN - Electric Distribution - Station Equipment </t>
  </si>
  <si>
    <t xml:space="preserve">   LGE-1392 - Electric General - Cars and Trailers </t>
  </si>
  <si>
    <t xml:space="preserve">   LGE-1395 - Electric General - Laboratory Equipment </t>
  </si>
  <si>
    <t xml:space="preserve">   LGE-1396 - Electric General - Transportation Equipment </t>
  </si>
  <si>
    <t xml:space="preserve">   LGE-2117 IN - Gas Storage - Gas Stored Underground - Noncurrent </t>
  </si>
  <si>
    <t xml:space="preserve">   LGE-2117 KY - Gas Storage - Gas Stored Underground - Noncurrent </t>
  </si>
  <si>
    <t xml:space="preserve">   LGE-2350 IN - Gas Storage - Land &amp; Land Rights </t>
  </si>
  <si>
    <t xml:space="preserve">   LGE-2350 KY - Gas Storage - Land &amp; Land Rights </t>
  </si>
  <si>
    <t xml:space="preserve">   LGE-2352 - Gas Storage - Lease </t>
  </si>
  <si>
    <t xml:space="preserve">   LGE-2352 - Gas Storage - Reservoirs </t>
  </si>
  <si>
    <t xml:space="preserve">   LGE-2354 IN - Gas Storage - Compressor Station Equipment </t>
  </si>
  <si>
    <t xml:space="preserve">   LGE-2374 - Gas Distribution - Land &amp; Land Rights </t>
  </si>
  <si>
    <t xml:space="preserve">   LGE-2392 - Gas General - Cars and Trailers </t>
  </si>
  <si>
    <t xml:space="preserve">   LGE-2395 - Gas General - Laboratory Equipment </t>
  </si>
  <si>
    <t xml:space="preserve">   LGE-2396 - Gas General - Transportation Equipment </t>
  </si>
  <si>
    <t xml:space="preserve">   LGE-3121 - Common Nonutility - Property </t>
  </si>
  <si>
    <t xml:space="preserve">   LGE-3301 - Common Intangible - Organization </t>
  </si>
  <si>
    <t xml:space="preserve">   LGE-3302 - Common Intangible - Franchises and Consents </t>
  </si>
  <si>
    <t xml:space="preserve">   LGE-3389 - Common General - Land &amp; Land Rights </t>
  </si>
  <si>
    <t xml:space="preserve">   LGE-3390 - Common General - 102 </t>
  </si>
  <si>
    <t xml:space="preserve">   LGE-3391 - Common General - ECR 2005 </t>
  </si>
  <si>
    <t xml:space="preserve">   LGE-3392 - Common General - Cars and Trailers </t>
  </si>
  <si>
    <t xml:space="preserve">   LGE-3395 - Common General - Laboratory Equipment </t>
  </si>
  <si>
    <t xml:space="preserve">   LGE-3396 - Common General - Transportation Equipment </t>
  </si>
  <si>
    <t xml:space="preserve">   LGE-3398 - Common General - Miscellaneous Equipment </t>
  </si>
  <si>
    <t xml:space="preserve">   Other unlocated adjustments/</t>
  </si>
  <si>
    <t>Per Federal Tax Depr Allocation</t>
  </si>
  <si>
    <t>Federal NOL Adjustment (Addition)</t>
  </si>
  <si>
    <t>Federal Solar Credits</t>
  </si>
  <si>
    <t>R&amp;E/Hydro Credit</t>
  </si>
  <si>
    <t>AD:[REG ASSET - LT INTEREST RATE SWAP]</t>
  </si>
  <si>
    <t>BZ:[Sep '09Wind Storm Balance]</t>
  </si>
  <si>
    <t>CE:[Feb '09 Ice Storm Balance]</t>
  </si>
  <si>
    <t>DF:[ECR Balance]</t>
  </si>
  <si>
    <t>DW:[Rate Case Expenses Balance]</t>
  </si>
  <si>
    <t>EF:[CMRG Funding Balance]</t>
  </si>
  <si>
    <t>GM:[Ending balance Outage Expenses - Assets - KPSC</t>
  </si>
  <si>
    <t>GQ:[Unamort Loss on Bonds Balance]</t>
  </si>
  <si>
    <t>HB:[Ending Balance AMS - OPEX - Assets</t>
  </si>
  <si>
    <t>GW:[Ending Balance AMS - Old Meters - Assets]</t>
  </si>
  <si>
    <t>HG:[Ending Balance Brown Inventory KPSC - Assets</t>
  </si>
  <si>
    <t>HO:[MISO exit fee refund Balance]</t>
  </si>
  <si>
    <t>HT:[FAC Balance - Liability]</t>
  </si>
  <si>
    <t>HY:[OST Balance - Liability]</t>
  </si>
  <si>
    <t>IE:[DSM Balance]</t>
  </si>
  <si>
    <t>IV:[LT Interest Rate Swap Balance]</t>
  </si>
  <si>
    <t>JN:[Ending Balance Refined Coal - KY]</t>
  </si>
  <si>
    <t>State Immediate Deferred Tax Adjustment</t>
  </si>
  <si>
    <t>AMS - Old Meters Assets</t>
  </si>
  <si>
    <t>Adjust AMS Retired Meter Reg Asset Addition</t>
  </si>
  <si>
    <t>Amortization of Unrecovered Plant - KPSC</t>
  </si>
  <si>
    <t>Loss on Disposition of Property</t>
  </si>
  <si>
    <t>Pension Cash Payment</t>
  </si>
  <si>
    <t>Amortization/Refund Activity of Tax Rate Changes-Electric</t>
  </si>
  <si>
    <t>Solar Credit</t>
  </si>
  <si>
    <t>Credit Utilization</t>
  </si>
  <si>
    <t>AH:[Wachovia Interest Rate Swap Balance]</t>
  </si>
  <si>
    <t>AL:[BOA Swap Termination]</t>
  </si>
  <si>
    <t>CS:[GSC Balance]</t>
  </si>
  <si>
    <t>CZ:[PBR Balance]</t>
  </si>
  <si>
    <t>ER:[2011 Summer Storms Balance]</t>
  </si>
  <si>
    <t>HO:[End Balance-Amortization/Refund of Tax Rate Change - Electric]</t>
  </si>
  <si>
    <t>HU:[End Balance-Amortization/Refund of Tax Rate Change - Gas]</t>
  </si>
  <si>
    <t>IP:[GLT Balance]</t>
  </si>
  <si>
    <t>Amortization/Refund Activity of Tax Rate Changes-Gas</t>
  </si>
  <si>
    <t>DK:[Adjust AMS Retired Meter Reg Asset Addition]</t>
  </si>
  <si>
    <t>AM:[Timing - Amortization of Unrecovered Plant - KPSC]</t>
  </si>
  <si>
    <t>Nondeductible Penalties</t>
  </si>
  <si>
    <t>Nondeductible Parking</t>
  </si>
  <si>
    <t>P:[Permanent - Penalties]</t>
  </si>
  <si>
    <t>Q:[Permanent - Parking]</t>
  </si>
  <si>
    <t>a-Jan 2018</t>
  </si>
  <si>
    <t>a-Feb 2018</t>
  </si>
  <si>
    <t>a-Mar 2018</t>
  </si>
  <si>
    <t>a-Apr 2018</t>
  </si>
  <si>
    <t>a-May 2018</t>
  </si>
  <si>
    <t>a-Jun 2018</t>
  </si>
  <si>
    <t>HC:[Deferred Income Tax Liabilities]</t>
  </si>
  <si>
    <t>Research Dev. &amp; Demo Exp.</t>
  </si>
  <si>
    <t xml:space="preserve">Military Pay Differential Wage Pay Credit Carryforward </t>
  </si>
  <si>
    <t xml:space="preserve">Plant Outage Normalization - Reg Asset </t>
  </si>
  <si>
    <t>TCJA - KPSC - Reg Liability</t>
  </si>
  <si>
    <t>Capitalized Property Tax</t>
  </si>
  <si>
    <t>O:[current date]</t>
  </si>
  <si>
    <t>P:[Jan 2018]</t>
  </si>
  <si>
    <t>Q:[Date for Feb 2017]</t>
  </si>
  <si>
    <t>R:[Federal Tax Rate]</t>
  </si>
  <si>
    <t>AB:[Income Tax Detail]</t>
  </si>
  <si>
    <t>AC:[Pretax income  (includes equity Income)]</t>
  </si>
  <si>
    <t>AE:[Less Equity earnings]</t>
  </si>
  <si>
    <t>AG:[Less Sale of Asset recorded net of tax]</t>
  </si>
  <si>
    <t>AH:[Pretax Income - excluding equity earnings &amp; asset sales]</t>
  </si>
  <si>
    <t>AI:[]</t>
  </si>
  <si>
    <t>AJ:[Permanent Differences - Federal &amp; State:]</t>
  </si>
  <si>
    <t>AK:[Permanent Differences - Federal &amp; Common]</t>
  </si>
  <si>
    <t>AL:[Permanent Differences - State Only]</t>
  </si>
  <si>
    <t>AM:[Total Permanent Differences]</t>
  </si>
  <si>
    <t>AN:[]</t>
  </si>
  <si>
    <t>AO:[Total Temporary Differences - Federal &amp; State:]</t>
  </si>
  <si>
    <t>AP:[Total Temporary Differences - Fed &amp; State]</t>
  </si>
  <si>
    <t>AQ:[Total Temporary Differences - Federal Only]</t>
  </si>
  <si>
    <t>AR:[Total Timing Differences]</t>
  </si>
  <si>
    <t>AS:[Less: State Income Tax Deferred]</t>
  </si>
  <si>
    <t>AT:[Federal Timing Differences net of State Income tax Deferred]</t>
  </si>
  <si>
    <t>AU:[Annual total of federal timing differences]</t>
  </si>
  <si>
    <t>AV:[Annual total of net federal timing differences]</t>
  </si>
  <si>
    <t>AX:[quarterly federal differences]</t>
  </si>
  <si>
    <t>AY:[quarterly net federal differences]</t>
  </si>
  <si>
    <t>BA:[State Totals:]</t>
  </si>
  <si>
    <t>BB:[Current State Income Tax]</t>
  </si>
  <si>
    <t>BC:[Deferred State Income Tax ]</t>
  </si>
  <si>
    <t>BD:[]</t>
  </si>
  <si>
    <t>BE:[Federal Section:]</t>
  </si>
  <si>
    <t>BF:[Pretax Income]</t>
  </si>
  <si>
    <t>BG:[Permanent - Removal of Interest Deduction]</t>
  </si>
  <si>
    <t>BI:[Total Permament Differences - Fed &amp; State]</t>
  </si>
  <si>
    <t>BJ:[Total Permament Differences - Federal Only]</t>
  </si>
  <si>
    <t>BK:[Bonus Depr Quarter Spread Correction]</t>
  </si>
  <si>
    <t>BL:[quarterly Federal Timing differences]</t>
  </si>
  <si>
    <t>BM:[]</t>
  </si>
  <si>
    <t>BN:[Less: State Income Tax Current]</t>
  </si>
  <si>
    <t>BO:[Federal Taxable Income before NOL]</t>
  </si>
  <si>
    <t>BP:[Federal NOL Adjustment (Addition)]</t>
  </si>
  <si>
    <t>BQ:[Federal NOL Adjustment (Utilization)]</t>
  </si>
  <si>
    <t>BR:[Federal Taxable Income]</t>
  </si>
  <si>
    <t>BS:[Federal Tax Rate]</t>
  </si>
  <si>
    <t>BT:[Federal Income Tax Based on Rate]</t>
  </si>
  <si>
    <t>BU:[Tax on Sale of Asset]</t>
  </si>
  <si>
    <t>BV:[AMT Credit Carried Forward]</t>
  </si>
  <si>
    <t>BW:[ITC Carried Forward]</t>
  </si>
  <si>
    <t>BX:[Solar Credit]</t>
  </si>
  <si>
    <t>BY:[R&amp;E/Hydro]</t>
  </si>
  <si>
    <t>BZ:[Federal Income Tax - Current]</t>
  </si>
  <si>
    <t>CA:[]</t>
  </si>
  <si>
    <t>CB:[Federal Taxable Income after NOL before Sec 199]</t>
  </si>
  <si>
    <t>CC:[Deferred Federal Tax:]</t>
  </si>
  <si>
    <t>CD:[quarterly Federal Timing Differences net of State Deferred Taxes]</t>
  </si>
  <si>
    <t>CE:[Federal Income Tax - Deferred  (calculated)]</t>
  </si>
  <si>
    <t>CF:[Federal Income Tax - Deferred  (Adjustments)]</t>
  </si>
  <si>
    <t>CG:[Federal Income Tax - Deferred - NOL (Addition)]</t>
  </si>
  <si>
    <t>CH:[Federal Income Tax - Deferred - NOL (Utilization)]</t>
  </si>
  <si>
    <t>CI:[Federal Income Tax - Deferred - NOL Stand Alone for Base and Forward]</t>
  </si>
  <si>
    <t>CJ:[Federal Income Tax - Deferred - Bonus Spread]</t>
  </si>
  <si>
    <t>CK:[Federal Income Tax - Deferred - ITC Basis Adj]</t>
  </si>
  <si>
    <t>CL:[Federal Income Tax - Deferred - AMT Credit Carryforward]</t>
  </si>
  <si>
    <t>CM:[Federal Income Tax - Deferred - ITC Carryforward]</t>
  </si>
  <si>
    <t>CN:[Federal Income Tax - Deferred - Solar Credits]</t>
  </si>
  <si>
    <t>CO:[Federal Income Tax - Deferred - Credits (R&amp;E, Hydro, etc.)]</t>
  </si>
  <si>
    <t>CP:[Federal Income Tax - Deferred - Excess Deferred Taxes]</t>
  </si>
  <si>
    <t>CQ:[Federal Income Tax - Immediate Deferred Tax Adjustment]</t>
  </si>
  <si>
    <t>CR:[Federal Income Tax - Deferred - VA on Tax Credit]</t>
  </si>
  <si>
    <t>CS:[Federal Income Tax - Deferred Unadjusted for ETR]</t>
  </si>
  <si>
    <t>CT:[Utilities Annual ETR Adjustment]</t>
  </si>
  <si>
    <t>CU:[ETR Adjustment for TYE Apr20]</t>
  </si>
  <si>
    <t>CV:[LKE Consolidated Annual ETR Adjustment (LKE Other)]</t>
  </si>
  <si>
    <t>CW:[Federal Income Tax - Deferred]</t>
  </si>
  <si>
    <t>CX:[]</t>
  </si>
  <si>
    <t>CY:[ITC Amortization]</t>
  </si>
  <si>
    <t>CZ:[Jobs Development/Old ITC Amortization]</t>
  </si>
  <si>
    <t>DA:[Solar Credit Basis Adjustment]</t>
  </si>
  <si>
    <t>DB:[]</t>
  </si>
  <si>
    <t>DC:[Effective Tax Rate Adjustments]</t>
  </si>
  <si>
    <t>DD:[State Income Tax - Immediate Deferred Tax Adjustment]</t>
  </si>
  <si>
    <t>DE:[State Income Tax - Immediate Def Adj net of Fed Benefit]</t>
  </si>
  <si>
    <t>DF:[Tax Expense]</t>
  </si>
  <si>
    <t>DG:[Annual Tax Expense]</t>
  </si>
  <si>
    <t>DH:[Annual Pre-Tax Income]</t>
  </si>
  <si>
    <t>DI:[ETR Adjustment at Utilities]</t>
  </si>
  <si>
    <t>DJ:[if]</t>
  </si>
  <si>
    <t>DK:[if]</t>
  </si>
  <si>
    <t>DL:[YTD Tax Expense]</t>
  </si>
  <si>
    <t>DM:[YTD Pre-Tax Income]</t>
  </si>
  <si>
    <t>DN:[YTD Effective Tax Rate]</t>
  </si>
  <si>
    <t>DO:[Annual Effective Tax Rate]</t>
  </si>
  <si>
    <t>DP:[YTD Adjusted Effective Taxes]</t>
  </si>
  <si>
    <t>DQ:[YTD Effective Tax Rate Adjustment]</t>
  </si>
  <si>
    <t>DR:[if]</t>
  </si>
  <si>
    <t>DS:[Mar Qtr ETR Adjustment]</t>
  </si>
  <si>
    <t>DT:[end if]</t>
  </si>
  <si>
    <t>DU:[if]</t>
  </si>
  <si>
    <t>DV:[Mar YTD ETR Adjustment]</t>
  </si>
  <si>
    <t>DW:[Jun Qtr ETR Adjustment]</t>
  </si>
  <si>
    <t>DX:[end if]</t>
  </si>
  <si>
    <t>DY:[if]</t>
  </si>
  <si>
    <t>DZ:[June YTD ETR Adjustment]</t>
  </si>
  <si>
    <t>EA:[Sep Qtr ETR Adjustment]</t>
  </si>
  <si>
    <t>EB:[end if]</t>
  </si>
  <si>
    <t>EC:[if]</t>
  </si>
  <si>
    <t>ED:[Sep YTD ETR Adjustment]</t>
  </si>
  <si>
    <t>EE:[Dec Qtr ETR Adjustment]</t>
  </si>
  <si>
    <t>EF:[end if]</t>
  </si>
  <si>
    <t>EG:[Current Qtr ETR Adjustment]</t>
  </si>
  <si>
    <t>EH:[end if]</t>
  </si>
  <si>
    <t>EJ:[ETR Adjustment at LKE Other]</t>
  </si>
  <si>
    <t>EK:[Tax Expense LKE Consolidated]</t>
  </si>
  <si>
    <t>EL:[Pre-Tax Income LKE Consolidated]</t>
  </si>
  <si>
    <t>EM:[Monthly Adjusted Effective Tax Rate]</t>
  </si>
  <si>
    <t>EN:[Annual Tax Expense - LKE Consolidated]</t>
  </si>
  <si>
    <t>EO:[Annual Pre-Tax Income - LKE Consolidated]</t>
  </si>
  <si>
    <t>EP:[Annual Adjusted Effective Tax Rate]</t>
  </si>
  <si>
    <t>EQ:[Monthly Adjusted Effective Taxes]</t>
  </si>
  <si>
    <t>ER:[Effective Tax Rate Adjustement]</t>
  </si>
  <si>
    <t>ES:[if]</t>
  </si>
  <si>
    <t>ET:[KU Qtr ETR Adjustment]</t>
  </si>
  <si>
    <t>EU:[LG&amp;E Qtr ETR Adjustment]</t>
  </si>
  <si>
    <t>EV:[KU Qtr ETR Adjustment Offset]</t>
  </si>
  <si>
    <t>EW:[LG&amp;E Qtr ETR Adjustment Offset]</t>
  </si>
  <si>
    <t>EX:[LKE Consolidated Annual ETR Adjustment (LKE Other)]</t>
  </si>
  <si>
    <t>EY:[Total LKE Other ETR Adjustment]</t>
  </si>
  <si>
    <t>EZ:[end if]</t>
  </si>
  <si>
    <t>FA:[ETR Adjustment for TYE April 2020]</t>
  </si>
  <si>
    <t>FB:[Date for April 2020]</t>
  </si>
  <si>
    <t>FC:[Date for May 2020]</t>
  </si>
  <si>
    <t>FD:[if]</t>
  </si>
  <si>
    <t>FE:[if]</t>
  </si>
  <si>
    <t>FF:[Reverse ETR Adj 12ME Apr 20]</t>
  </si>
  <si>
    <t>FG:[end if]</t>
  </si>
  <si>
    <t>FH:[end if]</t>
  </si>
  <si>
    <t>FI:[if]</t>
  </si>
  <si>
    <t>FJ:[Reverse Reversal of ETR Adj 12ME Apr20 for CY20]</t>
  </si>
  <si>
    <t>FK:[end if]</t>
  </si>
  <si>
    <t>FL:[ETR Adjustment for TYE Apr 2020]</t>
  </si>
  <si>
    <t>FO:[Tax Sharing Allocation of Parent Loss:]</t>
  </si>
  <si>
    <t>FP:[Parent Tax]</t>
  </si>
  <si>
    <t>FQ:[]</t>
  </si>
  <si>
    <t>FR:[System Total Income of Profitable Co's]</t>
  </si>
  <si>
    <t>FS:[Income of Sub]</t>
  </si>
  <si>
    <t>FT:[Percent of Parent Loss]</t>
  </si>
  <si>
    <t>FU:[]</t>
  </si>
  <si>
    <t>FV:[Allocated Parent Loss Calculated]</t>
  </si>
  <si>
    <t>FW:[Input Parent Loss (Override)]</t>
  </si>
  <si>
    <t>FX:[Allocated Parent Loss Used]</t>
  </si>
  <si>
    <t>FY:[]</t>
  </si>
  <si>
    <t>FZ:[Tax Payment Section:]</t>
  </si>
  <si>
    <t>GA:[Current Income Tax Accrual - Federal]</t>
  </si>
  <si>
    <t>GB:[Current Income Tax Accrual - State (Not here, On State Tax Report)]</t>
  </si>
  <si>
    <t>GC:[Capital Stock Tax Accrual]</t>
  </si>
  <si>
    <t>GD:[Sale of Asset Tax Accrual]</t>
  </si>
  <si>
    <t>GE:[Total Current Accrual]</t>
  </si>
  <si>
    <t>GF:[Year-to-Date Accrual]</t>
  </si>
  <si>
    <t>GG:[]</t>
  </si>
  <si>
    <t>GH:[Month for Annualization]</t>
  </si>
  <si>
    <t>GI:[Year to date Pre tax income]</t>
  </si>
  <si>
    <t>GJ:[Year to date Pretax income Through December]</t>
  </si>
  <si>
    <t>GK:[Year to date Federal Income Tax Current]</t>
  </si>
  <si>
    <t>GL:[Year to date Federal Income Tax Current- December Value]</t>
  </si>
  <si>
    <t>GO:[Year to date Pretax income through February]</t>
  </si>
  <si>
    <t>GP:[Annualized February YTD Pretax Income]</t>
  </si>
  <si>
    <t>GQ:[Annualized February Tax Liability]</t>
  </si>
  <si>
    <t>GS:[Year to date Pretax income through April]</t>
  </si>
  <si>
    <t>GT:[Annualized April YTD Pretax Income]</t>
  </si>
  <si>
    <t>GU:[Annualized April Tax Liability]</t>
  </si>
  <si>
    <t xml:space="preserve">     GV:[elseif]</t>
  </si>
  <si>
    <t>GW:[Year to date Pretax income through July]</t>
  </si>
  <si>
    <t>GX:[Annualized July YTD Pretax Income]</t>
  </si>
  <si>
    <t>GY:[Annualized July Tax Liability]</t>
  </si>
  <si>
    <t xml:space="preserve">     GZ:[else]</t>
  </si>
  <si>
    <t>HA:[Value for Annualization]</t>
  </si>
  <si>
    <t>HB:[Annualized Tax]</t>
  </si>
  <si>
    <t xml:space="preserve">     HC:[end if]</t>
  </si>
  <si>
    <t>HD:[Annualized Tax Total]</t>
  </si>
  <si>
    <t>HE:[Cumulative Percent Due]</t>
  </si>
  <si>
    <t>HF:[Cumulative Payment Due]</t>
  </si>
  <si>
    <t>HG:[Previous YTD payments]</t>
  </si>
  <si>
    <t>HH:[Previous Extension/Final Settlement]</t>
  </si>
  <si>
    <t>HI:[end if]</t>
  </si>
  <si>
    <t>HJ:[Adding an if statement to account for extension settlement]</t>
  </si>
  <si>
    <t>HK:[if]</t>
  </si>
  <si>
    <t>HL:[Current Period Payment - Calc]</t>
  </si>
  <si>
    <t>HM:[elseif]</t>
  </si>
  <si>
    <t>HN:[Tax settlement]</t>
  </si>
  <si>
    <t>HO:[else]</t>
  </si>
  <si>
    <t>HP:[Current Period Payment - Calc]</t>
  </si>
  <si>
    <t>HQ:[end if]</t>
  </si>
  <si>
    <t>HR:[Current Period Payment]</t>
  </si>
  <si>
    <t>HS:[]</t>
  </si>
  <si>
    <t>HT:[Logic to Reclass Utility Activity to LKE Other When Annual is Zero]</t>
  </si>
  <si>
    <t>HW:[December Cumulative Payment]</t>
  </si>
  <si>
    <t>HX:[December Cumulative Payment Rounded]</t>
  </si>
  <si>
    <t>HZ:[Current Period Payment - Utilities]</t>
  </si>
  <si>
    <t>IB:[Current Period Payment - Utilities]</t>
  </si>
  <si>
    <t>ID:[Current Period Payment Utilities to Use]</t>
  </si>
  <si>
    <t>IG:[Current Period Payment - LKE Other]</t>
  </si>
  <si>
    <t>IH:[Cumulative Payment KU]</t>
  </si>
  <si>
    <t>II:[December Cumulative Payment - KU]</t>
  </si>
  <si>
    <t>IJ:[Cumulative Payment LG&amp;E]</t>
  </si>
  <si>
    <t>IK:[December Cumulative Payment - LG&amp;E]</t>
  </si>
  <si>
    <t>IM:[KU Period Activity Reclass to LKE Other]</t>
  </si>
  <si>
    <t>IO:[KU Period Activity Reclass to LKE Other]</t>
  </si>
  <si>
    <t>IR:[LG&amp;E Period Activity Reclass to LKE Other]</t>
  </si>
  <si>
    <t>IT:[LG&amp;E Period Activity Reclass to LKE Other]</t>
  </si>
  <si>
    <t>IV:[KU Period Activity Reclass to LKE Other to Use]</t>
  </si>
  <si>
    <t>IW:[LG&amp;E Period Activity Reclass to LKE Other to Use]</t>
  </si>
  <si>
    <t>IY:[Payment Override Switch (1=Override)]</t>
  </si>
  <si>
    <t>IZ:[Override Payment]</t>
  </si>
  <si>
    <t>JA:[Current Month]</t>
  </si>
  <si>
    <t>JB:[if]</t>
  </si>
  <si>
    <t>JC:[Previous Ending Balance CarryOver]</t>
  </si>
  <si>
    <t>JD:[Current Period Payment - Annual]</t>
  </si>
  <si>
    <t>JE:[end if]</t>
  </si>
  <si>
    <t>JF:[Current Period Payment]</t>
  </si>
  <si>
    <t>JG:[Year-To-Date Payments]</t>
  </si>
  <si>
    <t>JH:[Prior Year Audit Settlements]</t>
  </si>
  <si>
    <t>JI:[Extension/Final Settlement]</t>
  </si>
  <si>
    <t>JJ:[Carryover Payment:]</t>
  </si>
  <si>
    <t>JK:[Beginning Balance - Carryover Payment]</t>
  </si>
  <si>
    <t>JL:[if]</t>
  </si>
  <si>
    <t>JM:[Carry to next year]</t>
  </si>
  <si>
    <t>JN:[else if]</t>
  </si>
  <si>
    <t>JO:[March Carryover Payment]</t>
  </si>
  <si>
    <t>JP:[end if]</t>
  </si>
  <si>
    <t>JQ:[if]</t>
  </si>
  <si>
    <t>JR:[Ending Balance - Carryover Payment]</t>
  </si>
  <si>
    <t>JS:[end if]</t>
  </si>
  <si>
    <t>JT:[Tax Settlement to LKE]</t>
  </si>
  <si>
    <t>JU:[Tax Extension Payment]</t>
  </si>
  <si>
    <t>JV:[Interest Expense Removal Logic to start in 2018]</t>
  </si>
  <si>
    <t>JW:[January 1 2018]</t>
  </si>
  <si>
    <t>JX:[Current Date]</t>
  </si>
  <si>
    <t>JY:[if]</t>
  </si>
  <si>
    <t>JZ:[Permanent - Removal of Interest Deduction before 2018]</t>
  </si>
  <si>
    <t>KA:[else]</t>
  </si>
  <si>
    <t>KB:[Permanent - Removal of Interest Deduction starting 2018]</t>
  </si>
  <si>
    <t>KC:[end if]</t>
  </si>
  <si>
    <t>KD:[Permanent - Removal of Interest Deduction]</t>
  </si>
  <si>
    <t>KH:[Federal NOL stand alone adjustment]</t>
  </si>
  <si>
    <t>KI:[]</t>
  </si>
  <si>
    <t>KJ:[]</t>
  </si>
  <si>
    <t>Low-Level Planning Entity Total </t>
  </si>
  <si>
    <t>Louisville Gas and Electric Company</t>
  </si>
  <si>
    <t>Old</t>
  </si>
  <si>
    <t>New</t>
  </si>
  <si>
    <t>JUN-2018</t>
  </si>
  <si>
    <t>Excess Deferreds ARAM</t>
  </si>
  <si>
    <t>Excess Deferreds Other</t>
  </si>
  <si>
    <t>KY Tax Reform:</t>
  </si>
  <si>
    <t>Reclass between 253 and 254</t>
  </si>
  <si>
    <t>2018 (actual)</t>
  </si>
  <si>
    <t>Activity Below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</si>
  <si>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</si>
  <si>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</si>
  <si>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</si>
  <si>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</si>
  <si>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</si>
  <si>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</si>
  <si>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</si>
  <si>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</si>
  <si>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</si>
  <si>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</si>
  <si>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</si>
  <si>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</si>
  <si>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Regulatory Assets</t>
  </si>
  <si>
    <t>Regulatory Liabilities</t>
  </si>
  <si>
    <t>Net</t>
  </si>
  <si>
    <t>Federal</t>
  </si>
  <si>
    <t>Fed Ben for UI</t>
  </si>
  <si>
    <t>State</t>
  </si>
  <si>
    <t>Total Excess</t>
  </si>
  <si>
    <t>AZ:[Federal Tax Depreciation (excl Bonus)]</t>
  </si>
  <si>
    <t xml:space="preserve">   LGE COMMON CARS TRUCKS MACRS 5 </t>
  </si>
  <si>
    <t xml:space="preserve">   LGE COMMON POWER OP EQUIP MACRS 5 </t>
  </si>
  <si>
    <t xml:space="preserve">   LGE ELECTRIC CARS TRUCKS MACRS 5 </t>
  </si>
  <si>
    <t xml:space="preserve">   LGE ELECTRIC POWER OP EQUIP MACRS 5 </t>
  </si>
  <si>
    <t xml:space="preserve">   LGE ELECTRIC STREET LIGHTS MACRS 7 </t>
  </si>
  <si>
    <t xml:space="preserve">   LGE GAS CARS TRUCKS MACRS 5 </t>
  </si>
  <si>
    <t xml:space="preserve">   LGE GAS POWER OP EQUIP MACRS 5 </t>
  </si>
  <si>
    <t>AT:[Total State Tax Depreciation Expense]</t>
  </si>
  <si>
    <t xml:space="preserve">   LGE-1310 - Steam Production - ECR 2016 </t>
  </si>
  <si>
    <t xml:space="preserve">   LGE-2367 - Gas Transmission - GLT </t>
  </si>
  <si>
    <t xml:space="preserve">   LGE-2374 - Gas Distribition Land - GLT </t>
  </si>
  <si>
    <t>Caluclated based on beg balance</t>
  </si>
  <si>
    <t>Amount used in Provision</t>
  </si>
  <si>
    <t>2018 Partial</t>
  </si>
  <si>
    <t>Excess Deferred Tax Amortization</t>
  </si>
  <si>
    <t>Excess Electric:</t>
  </si>
  <si>
    <t>Protected ARAM</t>
  </si>
  <si>
    <t>Protected NOLs</t>
  </si>
  <si>
    <t>Protected CCR</t>
  </si>
  <si>
    <t>Protected CCR - KY</t>
  </si>
  <si>
    <t>Unprotected Timing Diffs - KY</t>
  </si>
  <si>
    <t>Unprotected Timing Diffs</t>
  </si>
  <si>
    <t>Excess Gas:</t>
  </si>
  <si>
    <t>ITC and Basis Adj Amortization</t>
  </si>
  <si>
    <t>Solar</t>
  </si>
  <si>
    <t>TC2</t>
  </si>
  <si>
    <t>Old Elect</t>
  </si>
  <si>
    <t>Old Gas</t>
  </si>
  <si>
    <t>Basis Adjustments</t>
  </si>
  <si>
    <t>PY Excess State</t>
  </si>
  <si>
    <t>Derived per Regulatory Factor</t>
  </si>
  <si>
    <t>Reg Asset and Liab File</t>
  </si>
  <si>
    <t>DC:[Reclass Immediate Deferred to Special Items]</t>
  </si>
  <si>
    <t>DD:[Effective Tax Rate Adjustments]</t>
  </si>
  <si>
    <t>DE:[State Income Tax - Immediate Deferred Tax Adjustment]</t>
  </si>
  <si>
    <t>DF:[State Income Tax - Immediate Def Adj net of Fed Benefit]</t>
  </si>
  <si>
    <t>DG:[Tax Expense]</t>
  </si>
  <si>
    <t>DH:[Annual Tax Expense]</t>
  </si>
  <si>
    <t>DI:[Annual Pre-Tax Income]</t>
  </si>
  <si>
    <t>DJ:[ETR Adjustment at Utilities]</t>
  </si>
  <si>
    <t>DL:[if]</t>
  </si>
  <si>
    <t>DM:[YTD Tax Expense]</t>
  </si>
  <si>
    <t>DN:[YTD Pre-Tax Income]</t>
  </si>
  <si>
    <t>DO:[YTD Effective Tax Rate]</t>
  </si>
  <si>
    <t>DP:[Annual Effective Tax Rate]</t>
  </si>
  <si>
    <t>DQ:[YTD Adjusted Effective Taxes]</t>
  </si>
  <si>
    <t>DR:[YTD Effective Tax Rate Adjustment]</t>
  </si>
  <si>
    <t>DS:[if]</t>
  </si>
  <si>
    <t>DT:[Mar Qtr ETR Adjustment]</t>
  </si>
  <si>
    <t>DU:[end if]</t>
  </si>
  <si>
    <t>DV:[if]</t>
  </si>
  <si>
    <t>DW:[Mar YTD ETR Adjustment]</t>
  </si>
  <si>
    <t>DX:[Jun Qtr ETR Adjustment]</t>
  </si>
  <si>
    <t>DY:[end if]</t>
  </si>
  <si>
    <t>DZ:[if]</t>
  </si>
  <si>
    <t>EA:[June YTD ETR Adjustment]</t>
  </si>
  <si>
    <t>EB:[Sep Qtr ETR Adjustment]</t>
  </si>
  <si>
    <t>EC:[end if]</t>
  </si>
  <si>
    <t>ED:[if]</t>
  </si>
  <si>
    <t>EE:[Sep YTD ETR Adjustment]</t>
  </si>
  <si>
    <t>EF:[Dec Qtr ETR Adjustment]</t>
  </si>
  <si>
    <t>EG:[end if]</t>
  </si>
  <si>
    <t>EH:[Current Qtr ETR Adjustment]</t>
  </si>
  <si>
    <t>EJ:[end if]</t>
  </si>
  <si>
    <t>EK:[ETR Adjustment at LKE Other]</t>
  </si>
  <si>
    <t>EL:[Tax Expense LKE Consolidated]</t>
  </si>
  <si>
    <t>EM:[Pre-Tax Income LKE Consolidated]</t>
  </si>
  <si>
    <t>EN:[Monthly Adjusted Effective Tax Rate]</t>
  </si>
  <si>
    <t>EO:[Annual Tax Expense - LKE Consolidated]</t>
  </si>
  <si>
    <t>EP:[Annual Pre-Tax Income - LKE Consolidated]</t>
  </si>
  <si>
    <t>EQ:[Annual Adjusted Effective Tax Rate]</t>
  </si>
  <si>
    <t>ER:[Monthly Adjusted Effective Taxes]</t>
  </si>
  <si>
    <t>ES:[Effective Tax Rate Adjustement]</t>
  </si>
  <si>
    <t>ET:[if]</t>
  </si>
  <si>
    <t>EU:[KU Qtr ETR Adjustment]</t>
  </si>
  <si>
    <t>EV:[LG&amp;E Qtr ETR Adjustment]</t>
  </si>
  <si>
    <t>EW:[KU Qtr ETR Adjustment Offset]</t>
  </si>
  <si>
    <t>EX:[LG&amp;E Qtr ETR Adjustment Offset]</t>
  </si>
  <si>
    <t>EY:[LKE Consolidated Annual ETR Adjustment (LKE Other)]</t>
  </si>
  <si>
    <t>EZ:[Total LKE Other ETR Adjustment]</t>
  </si>
  <si>
    <t>FA:[end if]</t>
  </si>
  <si>
    <t>FB:[ETR Adjustment for TYE April 2020]</t>
  </si>
  <si>
    <t>FC:[Date for April 2020]</t>
  </si>
  <si>
    <t>FD:[Date for May 2020]</t>
  </si>
  <si>
    <t>FF:[if]</t>
  </si>
  <si>
    <t>FG:[Reverse ETR Adj 12ME Apr 20]</t>
  </si>
  <si>
    <t>FI:[end if]</t>
  </si>
  <si>
    <t>FJ:[if]</t>
  </si>
  <si>
    <t>FK:[Reverse Reversal of ETR Adj 12ME Apr20 for CY20]</t>
  </si>
  <si>
    <t>FL:[end if]</t>
  </si>
  <si>
    <t>FM:[ETR Adjustment for TYE Apr 2020]</t>
  </si>
  <si>
    <t>Electric Deferred Tax Expense Check</t>
  </si>
  <si>
    <t>Gas Deferred Tax Expense Check</t>
  </si>
  <si>
    <t>Bonus Depr Quarter Spread Correction_x001C_</t>
  </si>
  <si>
    <t>2018 Summer Storm Balance</t>
  </si>
  <si>
    <t>2018 Summer Storm Damages</t>
  </si>
  <si>
    <t>Electric Book Depreciation</t>
  </si>
  <si>
    <t>Gas Book Depreciation</t>
  </si>
  <si>
    <t>2</t>
  </si>
  <si>
    <t>3</t>
  </si>
  <si>
    <t>4</t>
  </si>
  <si>
    <t>Apr 2020 End Bal</t>
  </si>
  <si>
    <t>Apr 2020 Prorata</t>
  </si>
  <si>
    <t>Plant Outage Normalization</t>
  </si>
  <si>
    <t>Total Company</t>
  </si>
  <si>
    <t>Unamortized Excess Deferreds - Unprotected (6/30/18 balance)</t>
  </si>
  <si>
    <t>Unamortized Excess Deferreds - CCR (6/30/18 balance)</t>
  </si>
  <si>
    <t>Unamortized Excess Deferreds - NOL (6/30/18 balance)</t>
  </si>
  <si>
    <t>Base Period</t>
  </si>
  <si>
    <t>Forward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</si>
</sst>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$&quot;#,##0_);[Red]\(&quot;$&quot;#,##0\);&quot; &quot;"/>
    <numFmt numFmtId="166" formatCode="_(* #,##0_);_(* \(#,##0\);_(* &quot;-&quot;??_);_(@_)"/>
    <numFmt numFmtId="167" formatCode="_(* #,##0.000_);_(* \(#,##0.000\);_(* &quot;-&quot;??_);_(@_)"/>
    <numFmt numFmtId="168" formatCode="#,##0%_);[Red]\(#,##0%\);&quot; &quot;"/>
    <numFmt numFmtId="169" formatCode="#,##0.00%_);[Red]\(#,##0.00%\);&quot; &quot;"/>
    <numFmt numFmtId="170" formatCode="0.0%"/>
    <numFmt numFmtId="171" formatCode="0.000%"/>
    <numFmt numFmtId="172" formatCode="_(* #,##0.00000_);_(* \(#,##0.00000\);_(* &quot;-&quot;??_);_(@_)"/>
    <numFmt numFmtId="173" formatCode="_(* #,##0.000_);_(* \(#,##0.000\);_(* &quot;-&quot;_);_(@_)"/>
    <numFmt numFmtId="174" formatCode="#,##0;\(#,##0\)"/>
    <numFmt numFmtId="175" formatCode="_(* #,##0.00000000_);_(* \(#,##0.00000000\);_(* &quot;-&quot;??_);_(@_)"/>
    <numFmt numFmtId="176" formatCode="_(* #,##0.0000_);_(* \(#,##0.0000\);_(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00B0F0"/>
      <name val="Times New Roman"/>
      <family val="1"/>
    </font>
    <font>
      <b/>
      <u val="singleAccounting"/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i/>
      <sz val="7"/>
      <name val="Calibri"/>
      <family val="2"/>
      <scheme val="minor"/>
    </font>
    <font>
      <b/>
      <i/>
      <u/>
      <sz val="7"/>
      <name val="Calibri"/>
      <family val="2"/>
      <scheme val="minor"/>
    </font>
    <font>
      <i/>
      <u/>
      <sz val="7"/>
      <name val="Calibri"/>
      <family val="2"/>
      <scheme val="minor"/>
    </font>
    <font>
      <i/>
      <sz val="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9" applyNumberFormat="0" applyAlignment="0" applyProtection="0"/>
    <xf numFmtId="0" fontId="14" fillId="28" borderId="20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9" applyNumberFormat="0" applyAlignment="0" applyProtection="0"/>
    <xf numFmtId="0" fontId="21" fillId="0" borderId="24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0" fillId="0" borderId="0"/>
    <xf numFmtId="0" fontId="8" fillId="0" borderId="0"/>
    <xf numFmtId="0" fontId="10" fillId="32" borderId="25" applyNumberFormat="0" applyFont="0" applyAlignment="0" applyProtection="0"/>
    <xf numFmtId="0" fontId="23" fillId="27" borderId="26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0" borderId="0" applyNumberFormat="0" applyFill="0" applyBorder="0" applyAlignment="0" applyProtection="0"/>
  </cellStyleXfs>
  <cellXfs count="201">
    <xf numFmtId="0" fontId="0" fillId="0" borderId="0" xfId="0"/>
    <xf numFmtId="16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 wrapText="1"/>
    </xf>
    <xf numFmtId="164" fontId="28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10" fontId="28" fillId="0" borderId="0" xfId="46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ill="1"/>
    <xf numFmtId="164" fontId="0" fillId="33" borderId="0" xfId="0" applyNumberFormat="1" applyFont="1" applyFill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2" fillId="0" borderId="0" xfId="0" applyFont="1" applyFill="1"/>
    <xf numFmtId="0" fontId="32" fillId="0" borderId="0" xfId="0" applyFont="1" applyFill="1" applyBorder="1" applyAlignment="1">
      <alignment horizontal="left"/>
    </xf>
    <xf numFmtId="41" fontId="33" fillId="0" borderId="0" xfId="29" quotePrefix="1" applyFont="1" applyFill="1" applyAlignment="1">
      <alignment horizontal="center" wrapText="1"/>
    </xf>
    <xf numFmtId="0" fontId="31" fillId="0" borderId="0" xfId="0" applyFont="1" applyFill="1" applyBorder="1"/>
    <xf numFmtId="166" fontId="31" fillId="0" borderId="0" xfId="28" applyNumberFormat="1" applyFont="1" applyFill="1"/>
    <xf numFmtId="0" fontId="31" fillId="0" borderId="0" xfId="0" applyFont="1" applyFill="1"/>
    <xf numFmtId="166" fontId="32" fillId="0" borderId="0" xfId="28" applyNumberFormat="1" applyFont="1" applyFill="1"/>
    <xf numFmtId="166" fontId="32" fillId="0" borderId="0" xfId="28" applyNumberFormat="1" applyFont="1" applyFill="1" applyBorder="1"/>
    <xf numFmtId="166" fontId="32" fillId="0" borderId="3" xfId="28" applyNumberFormat="1" applyFont="1" applyFill="1" applyBorder="1"/>
    <xf numFmtId="0" fontId="32" fillId="0" borderId="3" xfId="0" applyFont="1" applyFill="1" applyBorder="1"/>
    <xf numFmtId="0" fontId="31" fillId="0" borderId="3" xfId="0" applyFont="1" applyFill="1" applyBorder="1"/>
    <xf numFmtId="9" fontId="32" fillId="0" borderId="3" xfId="46" applyFont="1" applyFill="1" applyBorder="1"/>
    <xf numFmtId="173" fontId="32" fillId="0" borderId="0" xfId="29" applyNumberFormat="1" applyFont="1" applyFill="1"/>
    <xf numFmtId="166" fontId="32" fillId="0" borderId="4" xfId="28" applyNumberFormat="1" applyFont="1" applyFill="1" applyBorder="1"/>
    <xf numFmtId="9" fontId="32" fillId="0" borderId="3" xfId="46" applyFont="1" applyFill="1" applyBorder="1" applyAlignment="1">
      <alignment horizontal="right" wrapText="1"/>
    </xf>
    <xf numFmtId="166" fontId="31" fillId="0" borderId="0" xfId="28" applyNumberFormat="1" applyFont="1" applyFill="1" applyBorder="1"/>
    <xf numFmtId="10" fontId="31" fillId="0" borderId="0" xfId="46" applyNumberFormat="1" applyFont="1" applyFill="1"/>
    <xf numFmtId="0" fontId="34" fillId="0" borderId="0" xfId="0" applyFont="1" applyFill="1" applyBorder="1" applyAlignment="1">
      <alignment horizontal="left"/>
    </xf>
    <xf numFmtId="0" fontId="0" fillId="0" borderId="0" xfId="0"/>
    <xf numFmtId="16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left"/>
    </xf>
    <xf numFmtId="43" fontId="35" fillId="0" borderId="0" xfId="28" quotePrefix="1" applyFont="1" applyFill="1" applyAlignment="1">
      <alignment horizontal="center"/>
    </xf>
    <xf numFmtId="43" fontId="35" fillId="0" borderId="0" xfId="28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30" fillId="0" borderId="0" xfId="0" applyNumberFormat="1" applyFont="1" applyFill="1" applyAlignment="1">
      <alignment horizontal="left"/>
    </xf>
    <xf numFmtId="164" fontId="30" fillId="0" borderId="0" xfId="0" applyNumberFormat="1" applyFont="1" applyFill="1" applyAlignment="1">
      <alignment horizontal="right"/>
    </xf>
    <xf numFmtId="9" fontId="30" fillId="0" borderId="0" xfId="46" applyFont="1" applyFill="1" applyAlignment="1">
      <alignment horizontal="right"/>
    </xf>
    <xf numFmtId="164" fontId="36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right"/>
    </xf>
    <xf numFmtId="43" fontId="28" fillId="0" borderId="0" xfId="28" applyFont="1" applyAlignment="1">
      <alignment horizontal="right"/>
    </xf>
    <xf numFmtId="164" fontId="0" fillId="33" borderId="3" xfId="0" applyNumberFormat="1" applyFont="1" applyFill="1" applyBorder="1" applyAlignment="1">
      <alignment horizontal="right"/>
    </xf>
    <xf numFmtId="10" fontId="37" fillId="0" borderId="0" xfId="46" applyNumberFormat="1" applyFont="1" applyAlignment="1">
      <alignment horizontal="right"/>
    </xf>
    <xf numFmtId="0" fontId="26" fillId="0" borderId="0" xfId="0" applyFont="1" applyFill="1"/>
    <xf numFmtId="10" fontId="32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10" fillId="0" borderId="0" xfId="28" applyNumberFormat="1" applyFont="1" applyFill="1"/>
    <xf numFmtId="43" fontId="10" fillId="0" borderId="0" xfId="28" applyFont="1" applyFill="1"/>
    <xf numFmtId="164" fontId="38" fillId="0" borderId="0" xfId="0" applyNumberFormat="1" applyFont="1" applyAlignment="1">
      <alignment horizontal="left"/>
    </xf>
    <xf numFmtId="166" fontId="1" fillId="0" borderId="0" xfId="28" applyNumberFormat="1" applyFont="1" applyFill="1"/>
    <xf numFmtId="166" fontId="1" fillId="0" borderId="15" xfId="28" applyNumberFormat="1" applyFont="1" applyFill="1" applyBorder="1"/>
    <xf numFmtId="43" fontId="42" fillId="0" borderId="0" xfId="28" quotePrefix="1" applyFont="1" applyFill="1" applyAlignment="1">
      <alignment horizontal="center"/>
    </xf>
    <xf numFmtId="164" fontId="38" fillId="0" borderId="8" xfId="0" applyNumberFormat="1" applyFont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164" fontId="0" fillId="0" borderId="0" xfId="0" applyNumberFormat="1"/>
    <xf numFmtId="0" fontId="0" fillId="0" borderId="0" xfId="0"/>
    <xf numFmtId="164" fontId="36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right" wrapText="1"/>
    </xf>
    <xf numFmtId="49" fontId="36" fillId="0" borderId="0" xfId="0" applyNumberFormat="1" applyFont="1" applyAlignment="1">
      <alignment horizontal="left" wrapText="1"/>
    </xf>
    <xf numFmtId="0" fontId="0" fillId="0" borderId="0" xfId="0"/>
    <xf numFmtId="164" fontId="36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right" wrapText="1"/>
    </xf>
    <xf numFmtId="49" fontId="36" fillId="0" borderId="0" xfId="0" applyNumberFormat="1" applyFont="1" applyAlignment="1">
      <alignment horizontal="left" wrapText="1"/>
    </xf>
    <xf numFmtId="0" fontId="0" fillId="0" borderId="0" xfId="0"/>
    <xf numFmtId="164" fontId="36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right" wrapText="1"/>
    </xf>
    <xf numFmtId="49" fontId="36" fillId="0" borderId="0" xfId="0" applyNumberFormat="1" applyFont="1" applyAlignment="1">
      <alignment horizontal="left" wrapText="1"/>
    </xf>
    <xf numFmtId="167" fontId="32" fillId="0" borderId="3" xfId="28" applyNumberFormat="1" applyFont="1" applyFill="1" applyBorder="1"/>
    <xf numFmtId="167" fontId="32" fillId="0" borderId="0" xfId="28" applyNumberFormat="1" applyFont="1" applyFill="1"/>
    <xf numFmtId="49" fontId="36" fillId="0" borderId="0" xfId="0" quotePrefix="1" applyNumberFormat="1" applyFont="1" applyAlignment="1">
      <alignment horizontal="right" wrapText="1"/>
    </xf>
    <xf numFmtId="0" fontId="0" fillId="0" borderId="0" xfId="0"/>
    <xf numFmtId="164" fontId="36" fillId="0" borderId="0" xfId="0" applyNumberFormat="1" applyFont="1" applyAlignment="1">
      <alignment horizontal="right"/>
    </xf>
    <xf numFmtId="164" fontId="38" fillId="0" borderId="0" xfId="0" applyNumberFormat="1" applyFont="1" applyAlignment="1">
      <alignment horizontal="right"/>
    </xf>
    <xf numFmtId="164" fontId="36" fillId="0" borderId="1" xfId="0" applyNumberFormat="1" applyFont="1" applyBorder="1" applyAlignment="1">
      <alignment horizontal="right"/>
    </xf>
    <xf numFmtId="164" fontId="36" fillId="0" borderId="0" xfId="0" applyNumberFormat="1" applyFont="1" applyAlignment="1">
      <alignment horizontal="right"/>
    </xf>
    <xf numFmtId="0" fontId="0" fillId="0" borderId="0" xfId="0" applyNumberFormat="1" applyFill="1"/>
    <xf numFmtId="166" fontId="1" fillId="0" borderId="0" xfId="28" applyNumberFormat="1" applyFont="1" applyFill="1" applyBorder="1"/>
    <xf numFmtId="0" fontId="1" fillId="0" borderId="0" xfId="0" applyFont="1" applyFill="1" applyBorder="1"/>
    <xf numFmtId="0" fontId="7" fillId="0" borderId="0" xfId="0" quotePrefix="1" applyFont="1" applyFill="1" applyBorder="1" applyAlignment="1">
      <alignment horizontal="center"/>
    </xf>
    <xf numFmtId="166" fontId="1" fillId="0" borderId="0" xfId="0" applyNumberFormat="1" applyFont="1" applyFill="1" applyBorder="1"/>
    <xf numFmtId="166" fontId="1" fillId="0" borderId="0" xfId="46" applyNumberFormat="1" applyFont="1" applyFill="1" applyBorder="1"/>
    <xf numFmtId="43" fontId="1" fillId="0" borderId="0" xfId="28" applyFont="1" applyFill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7" fontId="3" fillId="0" borderId="6" xfId="0" quotePrefix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70" fontId="1" fillId="0" borderId="0" xfId="46" applyNumberFormat="1" applyFont="1" applyFill="1"/>
    <xf numFmtId="8" fontId="0" fillId="0" borderId="0" xfId="0" applyNumberFormat="1" applyFill="1"/>
    <xf numFmtId="0" fontId="4" fillId="0" borderId="7" xfId="0" applyFont="1" applyFill="1" applyBorder="1" applyAlignment="1">
      <alignment horizontal="right" vertical="top"/>
    </xf>
    <xf numFmtId="0" fontId="3" fillId="0" borderId="6" xfId="0" quotePrefix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right" vertical="top"/>
    </xf>
    <xf numFmtId="166" fontId="5" fillId="0" borderId="9" xfId="28" applyNumberFormat="1" applyFont="1" applyFill="1" applyBorder="1" applyAlignment="1">
      <alignment horizontal="right" vertical="top"/>
    </xf>
    <xf numFmtId="170" fontId="1" fillId="0" borderId="8" xfId="46" applyNumberFormat="1" applyFont="1" applyFill="1" applyBorder="1"/>
    <xf numFmtId="10" fontId="1" fillId="0" borderId="8" xfId="46" applyNumberFormat="1" applyFont="1" applyFill="1" applyBorder="1"/>
    <xf numFmtId="41" fontId="1" fillId="0" borderId="0" xfId="29" applyFont="1" applyFill="1"/>
    <xf numFmtId="41" fontId="6" fillId="0" borderId="0" xfId="29" applyFont="1" applyFill="1"/>
    <xf numFmtId="166" fontId="3" fillId="0" borderId="9" xfId="28" applyNumberFormat="1" applyFont="1" applyFill="1" applyBorder="1" applyAlignment="1">
      <alignment horizontal="right" vertical="top"/>
    </xf>
    <xf numFmtId="166" fontId="1" fillId="0" borderId="0" xfId="0" applyNumberFormat="1" applyFont="1" applyFill="1"/>
    <xf numFmtId="0" fontId="9" fillId="0" borderId="0" xfId="0" applyFont="1" applyFill="1"/>
    <xf numFmtId="0" fontId="7" fillId="0" borderId="0" xfId="0" quotePrefix="1" applyFont="1" applyFill="1" applyAlignment="1">
      <alignment horizontal="center"/>
    </xf>
    <xf numFmtId="166" fontId="1" fillId="0" borderId="3" xfId="28" applyNumberFormat="1" applyFont="1" applyFill="1" applyBorder="1"/>
    <xf numFmtId="174" fontId="41" fillId="0" borderId="0" xfId="0" applyNumberFormat="1" applyFont="1" applyFill="1"/>
    <xf numFmtId="174" fontId="41" fillId="0" borderId="0" xfId="0" applyNumberFormat="1" applyFont="1" applyFill="1" applyBorder="1"/>
    <xf numFmtId="174" fontId="1" fillId="0" borderId="0" xfId="0" applyNumberFormat="1" applyFont="1" applyFill="1"/>
    <xf numFmtId="174" fontId="1" fillId="0" borderId="0" xfId="0" applyNumberFormat="1" applyFont="1" applyFill="1" applyBorder="1"/>
    <xf numFmtId="0" fontId="0" fillId="0" borderId="0" xfId="0" applyNumberFormat="1" applyFill="1" applyBorder="1" applyAlignment="1">
      <alignment horizontal="left"/>
    </xf>
    <xf numFmtId="174" fontId="1" fillId="0" borderId="3" xfId="0" applyNumberFormat="1" applyFont="1" applyFill="1" applyBorder="1"/>
    <xf numFmtId="175" fontId="1" fillId="0" borderId="3" xfId="28" applyNumberFormat="1" applyFont="1" applyFill="1" applyBorder="1"/>
    <xf numFmtId="175" fontId="1" fillId="0" borderId="0" xfId="28" applyNumberFormat="1" applyFont="1" applyFill="1" applyBorder="1"/>
    <xf numFmtId="43" fontId="1" fillId="0" borderId="0" xfId="0" applyNumberFormat="1" applyFont="1" applyFill="1"/>
    <xf numFmtId="166" fontId="2" fillId="0" borderId="8" xfId="0" applyNumberFormat="1" applyFont="1" applyFill="1" applyBorder="1"/>
    <xf numFmtId="166" fontId="2" fillId="0" borderId="0" xfId="0" applyNumberFormat="1" applyFont="1" applyFill="1" applyBorder="1"/>
    <xf numFmtId="166" fontId="1" fillId="0" borderId="0" xfId="46" applyNumberFormat="1" applyFont="1" applyFill="1"/>
    <xf numFmtId="10" fontId="1" fillId="0" borderId="0" xfId="46" applyNumberFormat="1" applyFont="1" applyFill="1"/>
    <xf numFmtId="9" fontId="1" fillId="0" borderId="0" xfId="46" applyFont="1" applyFill="1"/>
    <xf numFmtId="166" fontId="1" fillId="0" borderId="2" xfId="0" applyNumberFormat="1" applyFont="1" applyFill="1" applyBorder="1"/>
    <xf numFmtId="0" fontId="0" fillId="0" borderId="0" xfId="0" applyFill="1" applyBorder="1" applyAlignment="1">
      <alignment horizontal="right"/>
    </xf>
    <xf numFmtId="41" fontId="8" fillId="0" borderId="0" xfId="0" applyNumberFormat="1" applyFont="1" applyFill="1" applyBorder="1"/>
    <xf numFmtId="43" fontId="1" fillId="0" borderId="0" xfId="28" applyFont="1" applyFill="1"/>
    <xf numFmtId="43" fontId="1" fillId="0" borderId="0" xfId="28" applyNumberFormat="1" applyFont="1" applyFill="1"/>
    <xf numFmtId="0" fontId="1" fillId="0" borderId="15" xfId="0" applyFont="1" applyFill="1" applyBorder="1"/>
    <xf numFmtId="166" fontId="40" fillId="0" borderId="0" xfId="0" quotePrefix="1" applyNumberFormat="1" applyFont="1" applyFill="1" applyAlignment="1">
      <alignment horizontal="center"/>
    </xf>
    <xf numFmtId="166" fontId="40" fillId="0" borderId="15" xfId="0" quotePrefix="1" applyNumberFormat="1" applyFont="1" applyFill="1" applyBorder="1" applyAlignment="1">
      <alignment horizontal="center"/>
    </xf>
    <xf numFmtId="0" fontId="7" fillId="0" borderId="15" xfId="0" quotePrefix="1" applyFont="1" applyFill="1" applyBorder="1" applyAlignment="1">
      <alignment horizontal="center"/>
    </xf>
    <xf numFmtId="174" fontId="1" fillId="0" borderId="15" xfId="0" applyNumberFormat="1" applyFont="1" applyFill="1" applyBorder="1"/>
    <xf numFmtId="174" fontId="1" fillId="0" borderId="16" xfId="0" applyNumberFormat="1" applyFont="1" applyFill="1" applyBorder="1"/>
    <xf numFmtId="174" fontId="41" fillId="0" borderId="15" xfId="0" applyNumberFormat="1" applyFont="1" applyFill="1" applyBorder="1"/>
    <xf numFmtId="175" fontId="1" fillId="0" borderId="16" xfId="28" applyNumberFormat="1" applyFont="1" applyFill="1" applyBorder="1"/>
    <xf numFmtId="166" fontId="2" fillId="0" borderId="17" xfId="0" applyNumberFormat="1" applyFont="1" applyFill="1" applyBorder="1"/>
    <xf numFmtId="166" fontId="40" fillId="0" borderId="0" xfId="0" applyNumberFormat="1" applyFont="1" applyFill="1"/>
    <xf numFmtId="166" fontId="1" fillId="0" borderId="18" xfId="0" applyNumberFormat="1" applyFont="1" applyFill="1" applyBorder="1"/>
    <xf numFmtId="166" fontId="1" fillId="0" borderId="15" xfId="0" applyNumberFormat="1" applyFont="1" applyFill="1" applyBorder="1"/>
    <xf numFmtId="49" fontId="36" fillId="0" borderId="0" xfId="0" applyNumberFormat="1" applyFont="1" applyFill="1" applyAlignment="1">
      <alignment horizontal="left" wrapText="1"/>
    </xf>
    <xf numFmtId="49" fontId="36" fillId="0" borderId="0" xfId="0" applyNumberFormat="1" applyFont="1" applyFill="1" applyAlignment="1">
      <alignment horizontal="right" wrapText="1"/>
    </xf>
    <xf numFmtId="49" fontId="28" fillId="0" borderId="0" xfId="0" applyNumberFormat="1" applyFont="1" applyFill="1" applyAlignment="1">
      <alignment horizontal="right" wrapText="1"/>
    </xf>
    <xf numFmtId="164" fontId="38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left"/>
    </xf>
    <xf numFmtId="168" fontId="28" fillId="0" borderId="0" xfId="0" applyNumberFormat="1" applyFont="1" applyFill="1" applyAlignment="1">
      <alignment horizontal="right"/>
    </xf>
    <xf numFmtId="168" fontId="36" fillId="0" borderId="0" xfId="0" applyNumberFormat="1" applyFont="1" applyFill="1" applyAlignment="1">
      <alignment horizontal="left"/>
    </xf>
    <xf numFmtId="168" fontId="36" fillId="0" borderId="0" xfId="0" applyNumberFormat="1" applyFont="1" applyFill="1" applyAlignment="1">
      <alignment horizontal="right"/>
    </xf>
    <xf numFmtId="169" fontId="36" fillId="0" borderId="0" xfId="0" applyNumberFormat="1" applyFont="1" applyFill="1" applyAlignment="1">
      <alignment horizontal="right"/>
    </xf>
    <xf numFmtId="169" fontId="36" fillId="0" borderId="0" xfId="0" applyNumberFormat="1" applyFont="1" applyFill="1" applyAlignment="1">
      <alignment horizontal="left"/>
    </xf>
    <xf numFmtId="166" fontId="30" fillId="0" borderId="0" xfId="28" applyNumberFormat="1" applyFont="1" applyFill="1" applyAlignment="1">
      <alignment horizontal="right"/>
    </xf>
    <xf numFmtId="166" fontId="30" fillId="0" borderId="3" xfId="28" applyNumberFormat="1" applyFont="1" applyFill="1" applyBorder="1" applyAlignment="1">
      <alignment horizontal="right"/>
    </xf>
    <xf numFmtId="43" fontId="42" fillId="0" borderId="0" xfId="28" quotePrefix="1" applyFont="1" applyFill="1" applyAlignment="1">
      <alignment horizontal="center"/>
    </xf>
    <xf numFmtId="49" fontId="30" fillId="0" borderId="0" xfId="0" applyNumberFormat="1" applyFont="1" applyFill="1" applyAlignment="1">
      <alignment horizontal="left" wrapText="1"/>
    </xf>
    <xf numFmtId="49" fontId="30" fillId="0" borderId="0" xfId="0" applyNumberFormat="1" applyFont="1" applyFill="1" applyAlignment="1">
      <alignment horizontal="right" wrapText="1"/>
    </xf>
    <xf numFmtId="166" fontId="30" fillId="0" borderId="0" xfId="28" applyNumberFormat="1" applyFont="1" applyFill="1" applyAlignment="1">
      <alignment horizontal="right" wrapText="1"/>
    </xf>
    <xf numFmtId="166" fontId="30" fillId="0" borderId="0" xfId="28" quotePrefix="1" applyNumberFormat="1" applyFont="1" applyFill="1" applyAlignment="1">
      <alignment horizontal="right" wrapText="1"/>
    </xf>
    <xf numFmtId="0" fontId="30" fillId="0" borderId="0" xfId="0" applyNumberFormat="1" applyFont="1" applyFill="1" applyAlignment="1">
      <alignment horizontal="left" wrapText="1"/>
    </xf>
    <xf numFmtId="167" fontId="30" fillId="0" borderId="0" xfId="0" applyNumberFormat="1" applyFont="1" applyFill="1" applyAlignment="1">
      <alignment horizontal="right" wrapText="1"/>
    </xf>
    <xf numFmtId="164" fontId="43" fillId="0" borderId="1" xfId="0" applyNumberFormat="1" applyFont="1" applyFill="1" applyBorder="1" applyAlignment="1">
      <alignment horizontal="left"/>
    </xf>
    <xf numFmtId="172" fontId="30" fillId="0" borderId="0" xfId="28" applyNumberFormat="1" applyFont="1" applyFill="1" applyAlignment="1">
      <alignment horizontal="right"/>
    </xf>
    <xf numFmtId="167" fontId="30" fillId="0" borderId="0" xfId="28" applyNumberFormat="1" applyFont="1" applyFill="1" applyAlignment="1">
      <alignment horizontal="right"/>
    </xf>
    <xf numFmtId="165" fontId="44" fillId="0" borderId="0" xfId="0" applyNumberFormat="1" applyFont="1" applyFill="1" applyAlignment="1">
      <alignment horizontal="left"/>
    </xf>
    <xf numFmtId="165" fontId="44" fillId="0" borderId="0" xfId="0" applyNumberFormat="1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165" fontId="43" fillId="0" borderId="0" xfId="0" applyNumberFormat="1" applyFont="1" applyFill="1" applyAlignment="1">
      <alignment horizontal="right"/>
    </xf>
    <xf numFmtId="165" fontId="43" fillId="0" borderId="0" xfId="0" applyNumberFormat="1" applyFont="1" applyFill="1" applyAlignment="1">
      <alignment horizontal="left"/>
    </xf>
    <xf numFmtId="10" fontId="30" fillId="0" borderId="0" xfId="46" applyNumberFormat="1" applyFont="1" applyFill="1" applyAlignment="1">
      <alignment horizontal="right"/>
    </xf>
    <xf numFmtId="164" fontId="30" fillId="0" borderId="1" xfId="0" applyNumberFormat="1" applyFont="1" applyFill="1" applyBorder="1" applyAlignment="1">
      <alignment horizontal="left"/>
    </xf>
    <xf numFmtId="164" fontId="30" fillId="0" borderId="1" xfId="0" applyNumberFormat="1" applyFont="1" applyFill="1" applyBorder="1" applyAlignment="1">
      <alignment horizontal="right"/>
    </xf>
    <xf numFmtId="166" fontId="30" fillId="0" borderId="1" xfId="28" applyNumberFormat="1" applyFont="1" applyFill="1" applyBorder="1" applyAlignment="1">
      <alignment horizontal="right"/>
    </xf>
    <xf numFmtId="164" fontId="45" fillId="0" borderId="0" xfId="0" applyNumberFormat="1" applyFont="1" applyFill="1" applyAlignment="1">
      <alignment horizontal="left"/>
    </xf>
    <xf numFmtId="164" fontId="45" fillId="0" borderId="0" xfId="0" applyNumberFormat="1" applyFont="1" applyFill="1" applyAlignment="1">
      <alignment horizontal="right"/>
    </xf>
    <xf numFmtId="166" fontId="45" fillId="0" borderId="0" xfId="28" applyNumberFormat="1" applyFont="1" applyFill="1" applyAlignment="1">
      <alignment horizontal="right"/>
    </xf>
    <xf numFmtId="164" fontId="43" fillId="0" borderId="0" xfId="0" applyNumberFormat="1" applyFont="1" applyFill="1" applyAlignment="1">
      <alignment horizontal="left"/>
    </xf>
    <xf numFmtId="164" fontId="46" fillId="0" borderId="0" xfId="0" applyNumberFormat="1" applyFont="1" applyFill="1" applyAlignment="1">
      <alignment horizontal="left"/>
    </xf>
    <xf numFmtId="166" fontId="43" fillId="0" borderId="2" xfId="28" applyNumberFormat="1" applyFont="1" applyFill="1" applyBorder="1" applyAlignment="1">
      <alignment horizontal="right"/>
    </xf>
    <xf numFmtId="164" fontId="47" fillId="0" borderId="0" xfId="0" applyNumberFormat="1" applyFont="1" applyFill="1" applyAlignment="1">
      <alignment horizontal="left"/>
    </xf>
    <xf numFmtId="166" fontId="30" fillId="0" borderId="11" xfId="28" applyNumberFormat="1" applyFont="1" applyFill="1" applyBorder="1" applyAlignment="1">
      <alignment horizontal="right"/>
    </xf>
    <xf numFmtId="166" fontId="30" fillId="0" borderId="12" xfId="28" applyNumberFormat="1" applyFont="1" applyFill="1" applyBorder="1" applyAlignment="1">
      <alignment horizontal="right"/>
    </xf>
    <xf numFmtId="166" fontId="30" fillId="0" borderId="13" xfId="28" applyNumberFormat="1" applyFont="1" applyFill="1" applyBorder="1" applyAlignment="1">
      <alignment horizontal="right"/>
    </xf>
    <xf numFmtId="166" fontId="30" fillId="0" borderId="2" xfId="28" applyNumberFormat="1" applyFont="1" applyFill="1" applyBorder="1" applyAlignment="1">
      <alignment horizontal="right"/>
    </xf>
    <xf numFmtId="166" fontId="30" fillId="0" borderId="0" xfId="28" applyNumberFormat="1" applyFont="1" applyFill="1" applyBorder="1" applyAlignment="1">
      <alignment horizontal="right"/>
    </xf>
    <xf numFmtId="171" fontId="30" fillId="0" borderId="0" xfId="46" applyNumberFormat="1" applyFont="1" applyFill="1" applyAlignment="1">
      <alignment horizontal="right"/>
    </xf>
    <xf numFmtId="164" fontId="30" fillId="0" borderId="0" xfId="0" applyNumberFormat="1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right"/>
    </xf>
    <xf numFmtId="166" fontId="30" fillId="0" borderId="14" xfId="28" applyNumberFormat="1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left"/>
    </xf>
    <xf numFmtId="9" fontId="30" fillId="0" borderId="3" xfId="46" applyFont="1" applyFill="1" applyBorder="1" applyAlignment="1">
      <alignment horizontal="right"/>
    </xf>
    <xf numFmtId="9" fontId="30" fillId="0" borderId="0" xfId="46" applyFont="1" applyFill="1" applyBorder="1" applyAlignment="1">
      <alignment horizontal="right"/>
    </xf>
    <xf numFmtId="176" fontId="30" fillId="0" borderId="0" xfId="28" applyNumberFormat="1" applyFont="1" applyFill="1" applyAlignment="1">
      <alignment horizontal="right"/>
    </xf>
    <xf numFmtId="166" fontId="48" fillId="0" borderId="0" xfId="28" applyNumberFormat="1" applyFont="1" applyFill="1" applyAlignment="1">
      <alignment horizontal="right"/>
    </xf>
    <xf numFmtId="166" fontId="43" fillId="0" borderId="0" xfId="28" applyNumberFormat="1" applyFont="1" applyFill="1" applyBorder="1" applyAlignment="1">
      <alignment horizontal="right"/>
    </xf>
    <xf numFmtId="167" fontId="30" fillId="0" borderId="2" xfId="28" applyNumberFormat="1" applyFont="1" applyFill="1" applyBorder="1" applyAlignment="1">
      <alignment horizontal="right"/>
    </xf>
    <xf numFmtId="164" fontId="30" fillId="0" borderId="0" xfId="0" quotePrefix="1" applyNumberFormat="1" applyFont="1" applyFill="1" applyAlignment="1">
      <alignment horizontal="right"/>
    </xf>
    <xf numFmtId="166" fontId="43" fillId="0" borderId="0" xfId="28" applyNumberFormat="1" applyFont="1" applyFill="1" applyAlignment="1">
      <alignment horizontal="right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" xfId="29" builtinId="6"/>
    <cellStyle name="Comma 2" xfId="30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2"/>
    <cellStyle name="Normal 4" xfId="43"/>
    <cellStyle name="Note" xfId="44" builtinId="10" customBuiltin="1"/>
    <cellStyle name="Output" xfId="45" builtinId="21" customBuiltin="1"/>
    <cellStyle name="Percent" xfId="46" builtinId="5"/>
    <cellStyle name="Title" xfId="47" builtinId="15" customBuiltin="1"/>
    <cellStyle name="Title 2" xfId="48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08"/>
  <sheetViews>
    <sheetView tabSelected="1" zoomScale="130" zoomScaleNormal="130" workbookViewId="0">
      <pane xSplit="1" ySplit="3" topLeftCell="G4" activePane="bottomRight" state="frozen"/>
      <selection activeCell="A16" sqref="A16"/>
      <selection pane="topRight" activeCell="A16" sqref="A16"/>
      <selection pane="bottomLeft" activeCell="A16" sqref="A16"/>
      <selection pane="bottomRight" activeCell="A25" sqref="A25"/>
    </sheetView>
  </sheetViews>
  <sheetFormatPr defaultColWidth="9.109375" defaultRowHeight="8.4" x14ac:dyDescent="0.15"/>
  <cols>
    <col min="1" max="1" width="30.6640625" style="39" customWidth="1"/>
    <col min="2" max="8" width="10.6640625" style="40" customWidth="1"/>
    <col min="9" max="40" width="10.6640625" style="155" customWidth="1"/>
    <col min="41" max="42" width="9.109375" style="40"/>
    <col min="43" max="57" width="12.44140625" style="40" customWidth="1"/>
    <col min="58" max="16384" width="9.109375" style="40"/>
  </cols>
  <sheetData>
    <row r="1" spans="1:57" s="159" customFormat="1" x14ac:dyDescent="0.15">
      <c r="A1" s="158"/>
      <c r="I1" s="160"/>
      <c r="J1" s="161">
        <v>2</v>
      </c>
      <c r="K1" s="160"/>
      <c r="L1" s="160"/>
      <c r="M1" s="160"/>
      <c r="N1" s="160"/>
      <c r="O1" s="160"/>
      <c r="P1" s="160"/>
      <c r="Q1" s="160">
        <v>3</v>
      </c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>
        <v>4</v>
      </c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57" s="159" customFormat="1" x14ac:dyDescent="0.15">
      <c r="A2" s="162"/>
      <c r="B2" s="159" t="s">
        <v>645</v>
      </c>
      <c r="C2" s="159" t="s">
        <v>646</v>
      </c>
      <c r="D2" s="159" t="s">
        <v>647</v>
      </c>
      <c r="E2" s="159" t="s">
        <v>648</v>
      </c>
      <c r="F2" s="159" t="s">
        <v>649</v>
      </c>
      <c r="G2" s="159" t="s">
        <v>650</v>
      </c>
      <c r="H2" s="159" t="s">
        <v>1</v>
      </c>
      <c r="I2" s="159" t="s">
        <v>2</v>
      </c>
      <c r="J2" s="159" t="s">
        <v>3</v>
      </c>
      <c r="K2" s="159" t="s">
        <v>4</v>
      </c>
      <c r="L2" s="159" t="s">
        <v>5</v>
      </c>
      <c r="M2" s="159" t="s">
        <v>6</v>
      </c>
      <c r="N2" s="159" t="s">
        <v>7</v>
      </c>
      <c r="O2" s="159" t="s">
        <v>8</v>
      </c>
      <c r="P2" s="159" t="s">
        <v>9</v>
      </c>
      <c r="Q2" s="159" t="s">
        <v>10</v>
      </c>
      <c r="R2" s="159" t="s">
        <v>11</v>
      </c>
      <c r="S2" s="159" t="s">
        <v>12</v>
      </c>
      <c r="T2" s="159" t="s">
        <v>13</v>
      </c>
      <c r="U2" s="159" t="s">
        <v>14</v>
      </c>
      <c r="V2" s="159" t="s">
        <v>15</v>
      </c>
      <c r="W2" s="159" t="s">
        <v>16</v>
      </c>
      <c r="X2" s="159" t="s">
        <v>17</v>
      </c>
      <c r="Y2" s="159" t="s">
        <v>18</v>
      </c>
      <c r="Z2" s="159" t="s">
        <v>19</v>
      </c>
      <c r="AA2" s="159" t="s">
        <v>20</v>
      </c>
      <c r="AB2" s="159" t="s">
        <v>21</v>
      </c>
      <c r="AC2" s="159" t="s">
        <v>22</v>
      </c>
      <c r="AD2" s="159" t="s">
        <v>23</v>
      </c>
      <c r="AE2" s="159" t="s">
        <v>24</v>
      </c>
      <c r="AF2" s="159" t="s">
        <v>25</v>
      </c>
      <c r="AG2" s="159" t="s">
        <v>26</v>
      </c>
      <c r="AH2" s="159" t="s">
        <v>27</v>
      </c>
      <c r="AI2" s="159" t="s">
        <v>28</v>
      </c>
      <c r="AJ2" s="159" t="s">
        <v>29</v>
      </c>
      <c r="AK2" s="159" t="s">
        <v>30</v>
      </c>
      <c r="AL2" s="159" t="s">
        <v>31</v>
      </c>
      <c r="AM2" s="159" t="s">
        <v>32</v>
      </c>
      <c r="AN2" s="159" t="s">
        <v>33</v>
      </c>
      <c r="AQ2" s="159" t="s">
        <v>11</v>
      </c>
      <c r="AR2" s="159" t="s">
        <v>12</v>
      </c>
      <c r="AS2" s="159" t="s">
        <v>13</v>
      </c>
      <c r="AT2" s="159" t="s">
        <v>14</v>
      </c>
      <c r="AU2" s="159" t="s">
        <v>15</v>
      </c>
      <c r="AV2" s="159" t="s">
        <v>16</v>
      </c>
      <c r="AW2" s="159" t="s">
        <v>17</v>
      </c>
      <c r="AX2" s="159" t="s">
        <v>18</v>
      </c>
      <c r="AY2" s="159" t="s">
        <v>19</v>
      </c>
      <c r="AZ2" s="159" t="s">
        <v>21</v>
      </c>
      <c r="BA2" s="159" t="s">
        <v>22</v>
      </c>
      <c r="BB2" s="159" t="s">
        <v>23</v>
      </c>
      <c r="BC2" s="159" t="s">
        <v>24</v>
      </c>
      <c r="BD2" s="159" t="s">
        <v>1034</v>
      </c>
      <c r="BE2" s="159" t="s">
        <v>1035</v>
      </c>
    </row>
    <row r="3" spans="1:57" s="159" customFormat="1" x14ac:dyDescent="0.15">
      <c r="A3" s="158"/>
      <c r="J3" s="163"/>
      <c r="K3" s="163"/>
      <c r="L3" s="163"/>
      <c r="M3" s="163"/>
    </row>
    <row r="4" spans="1:57" ht="9" thickBot="1" x14ac:dyDescent="0.2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</row>
    <row r="5" spans="1:57" s="169" customFormat="1" ht="10.199999999999999" x14ac:dyDescent="0.2">
      <c r="A5" s="167" t="s">
        <v>651</v>
      </c>
      <c r="B5" s="168">
        <v>571783.48979999905</v>
      </c>
      <c r="C5" s="168">
        <v>571783.48979999905</v>
      </c>
      <c r="D5" s="168">
        <v>581712.53385000001</v>
      </c>
      <c r="E5" s="168">
        <v>581555.39087</v>
      </c>
      <c r="F5" s="168">
        <v>581555.39087</v>
      </c>
      <c r="G5" s="168">
        <v>581202.92573000002</v>
      </c>
      <c r="H5" s="168">
        <v>581214.11132914305</v>
      </c>
      <c r="I5" s="168">
        <v>581225.29692828597</v>
      </c>
      <c r="J5" s="168">
        <v>609235.31529477099</v>
      </c>
      <c r="K5" s="168">
        <v>609246.50089391402</v>
      </c>
      <c r="L5" s="168">
        <v>609257.68649305694</v>
      </c>
      <c r="M5" s="168">
        <v>627000.00382400095</v>
      </c>
      <c r="N5" s="168">
        <v>627000.00382400095</v>
      </c>
      <c r="O5" s="168">
        <v>627011.18942314503</v>
      </c>
      <c r="P5" s="168">
        <v>627022.37502228795</v>
      </c>
      <c r="Q5" s="168">
        <v>642416.94316016894</v>
      </c>
      <c r="R5" s="168">
        <v>642707.96483065805</v>
      </c>
      <c r="S5" s="168">
        <v>642719.15042980097</v>
      </c>
      <c r="T5" s="168">
        <v>659626.15891005599</v>
      </c>
      <c r="U5" s="168">
        <v>659637.34450919903</v>
      </c>
      <c r="V5" s="168">
        <v>659648.53010834195</v>
      </c>
      <c r="W5" s="168">
        <v>675759.03611470503</v>
      </c>
      <c r="X5" s="168">
        <v>675770.22171384795</v>
      </c>
      <c r="Y5" s="168">
        <v>675781.40731299098</v>
      </c>
      <c r="Z5" s="168">
        <v>692482.38038813404</v>
      </c>
      <c r="AA5" s="168">
        <v>692482.38038813404</v>
      </c>
      <c r="AB5" s="168">
        <v>692493.56598727696</v>
      </c>
      <c r="AC5" s="168">
        <v>692504.75158642</v>
      </c>
      <c r="AD5" s="168">
        <v>697998.05801364698</v>
      </c>
      <c r="AE5" s="168">
        <v>698621.038733194</v>
      </c>
      <c r="AF5" s="168">
        <v>698320.654205236</v>
      </c>
      <c r="AG5" s="168">
        <v>705771.28169941599</v>
      </c>
      <c r="AH5" s="168">
        <v>705782.46729855903</v>
      </c>
      <c r="AI5" s="168">
        <v>705793.65289770195</v>
      </c>
      <c r="AJ5" s="168">
        <v>712107.40451212204</v>
      </c>
      <c r="AK5" s="168">
        <v>712118.59011126496</v>
      </c>
      <c r="AL5" s="168">
        <v>712129.77571040799</v>
      </c>
      <c r="AM5" s="168">
        <v>719587.31618296006</v>
      </c>
      <c r="AN5" s="168">
        <v>719587.31618296006</v>
      </c>
      <c r="AO5" s="168"/>
      <c r="AQ5" s="170"/>
      <c r="AR5" s="155" t="s">
        <v>515</v>
      </c>
      <c r="AS5" s="155" t="s">
        <v>516</v>
      </c>
      <c r="AT5" s="155" t="s">
        <v>517</v>
      </c>
      <c r="AU5" s="155" t="s">
        <v>518</v>
      </c>
      <c r="AV5" s="155" t="s">
        <v>519</v>
      </c>
      <c r="AW5" s="155" t="s">
        <v>520</v>
      </c>
      <c r="AX5" s="155" t="s">
        <v>521</v>
      </c>
      <c r="AY5" s="155" t="s">
        <v>522</v>
      </c>
      <c r="AZ5" s="155" t="s">
        <v>523</v>
      </c>
      <c r="BA5" s="155" t="s">
        <v>524</v>
      </c>
      <c r="BB5" s="155" t="s">
        <v>525</v>
      </c>
      <c r="BC5" s="155" t="s">
        <v>526</v>
      </c>
      <c r="BD5" s="155"/>
    </row>
    <row r="6" spans="1:57" s="169" customFormat="1" ht="10.199999999999999" x14ac:dyDescent="0.2">
      <c r="A6" s="171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72"/>
      <c r="AR6" s="172">
        <v>0.9178082191780822</v>
      </c>
      <c r="AS6" s="172">
        <v>0.83287671232876714</v>
      </c>
      <c r="AT6" s="172">
        <v>0.75068493150684934</v>
      </c>
      <c r="AU6" s="172">
        <v>0.66575342465753429</v>
      </c>
      <c r="AV6" s="172">
        <v>0.58356164383561648</v>
      </c>
      <c r="AW6" s="172">
        <v>0.49863013698630138</v>
      </c>
      <c r="AX6" s="172">
        <v>0.41369863013698632</v>
      </c>
      <c r="AY6" s="172">
        <v>0.33698630136986302</v>
      </c>
      <c r="AZ6" s="172">
        <v>0.25205479452054796</v>
      </c>
      <c r="BA6" s="172">
        <v>0.16986301369863013</v>
      </c>
      <c r="BB6" s="172">
        <v>8.4931506849315067E-2</v>
      </c>
      <c r="BC6" s="172">
        <v>2.7397260273972603E-3</v>
      </c>
      <c r="BD6" s="172"/>
      <c r="BE6" s="172"/>
    </row>
    <row r="7" spans="1:57" s="174" customFormat="1" ht="9" thickBot="1" x14ac:dyDescent="0.2">
      <c r="A7" s="173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Y7" s="175"/>
      <c r="BA7" s="175"/>
    </row>
    <row r="9" spans="1:57" x14ac:dyDescent="0.15">
      <c r="A9" s="39" t="s">
        <v>263</v>
      </c>
      <c r="G9" s="155">
        <f>+G100+G156+G165</f>
        <v>-467782216.99999994</v>
      </c>
      <c r="H9" s="155">
        <f>+H100+H156+H165</f>
        <v>-467793402.59913474</v>
      </c>
      <c r="I9" s="155">
        <f>+I100+I156+I165</f>
        <v>-467804588.19826955</v>
      </c>
      <c r="J9" s="155">
        <f>+J100+J156+J165</f>
        <v>-492134666.07385796</v>
      </c>
      <c r="K9" s="155">
        <f t="shared" ref="K9:AN9" si="0">+K100+K156+K165</f>
        <v>-492145851.67299289</v>
      </c>
      <c r="L9" s="155">
        <f t="shared" si="0"/>
        <v>-492157037.27212769</v>
      </c>
      <c r="M9" s="155">
        <f t="shared" si="0"/>
        <v>-507543169.20267731</v>
      </c>
      <c r="N9" s="155">
        <f t="shared" si="0"/>
        <v>-507543169.20267731</v>
      </c>
      <c r="O9" s="155">
        <f t="shared" si="0"/>
        <v>-507554354.80181211</v>
      </c>
      <c r="P9" s="155">
        <f t="shared" si="0"/>
        <v>-507565540.40094692</v>
      </c>
      <c r="Q9" s="155">
        <f t="shared" si="0"/>
        <v>-520788189.27134925</v>
      </c>
      <c r="R9" s="155">
        <f t="shared" si="0"/>
        <v>-521024747.17134768</v>
      </c>
      <c r="S9" s="155">
        <f t="shared" si="0"/>
        <v>-521035932.77048248</v>
      </c>
      <c r="T9" s="155">
        <f t="shared" si="0"/>
        <v>-535824577.13067055</v>
      </c>
      <c r="U9" s="155">
        <f t="shared" si="0"/>
        <v>-535835762.72980535</v>
      </c>
      <c r="V9" s="155">
        <f t="shared" si="0"/>
        <v>-535846948.32894027</v>
      </c>
      <c r="W9" s="155">
        <f t="shared" si="0"/>
        <v>-549784172.10087872</v>
      </c>
      <c r="X9" s="155">
        <f t="shared" si="0"/>
        <v>-549795357.70001364</v>
      </c>
      <c r="Y9" s="155">
        <f t="shared" si="0"/>
        <v>-549806543.29914832</v>
      </c>
      <c r="Z9" s="155">
        <f t="shared" si="0"/>
        <v>-564334234.13987422</v>
      </c>
      <c r="AA9" s="155">
        <f t="shared" si="0"/>
        <v>-564334234.13987422</v>
      </c>
      <c r="AB9" s="155">
        <f t="shared" si="0"/>
        <v>-564345419.7390089</v>
      </c>
      <c r="AC9" s="155">
        <f t="shared" si="0"/>
        <v>-564356605.33814383</v>
      </c>
      <c r="AD9" s="155">
        <f t="shared" si="0"/>
        <v>-568076271.64972591</v>
      </c>
      <c r="AE9" s="155">
        <f t="shared" si="0"/>
        <v>-568640687.78140795</v>
      </c>
      <c r="AF9" s="155">
        <f t="shared" si="0"/>
        <v>-568340303.25344181</v>
      </c>
      <c r="AG9" s="155">
        <f t="shared" si="0"/>
        <v>-574075855.2198422</v>
      </c>
      <c r="AH9" s="155">
        <f t="shared" si="0"/>
        <v>-574087040.81897712</v>
      </c>
      <c r="AI9" s="155">
        <f t="shared" si="0"/>
        <v>-574098226.41811204</v>
      </c>
      <c r="AJ9" s="155">
        <f t="shared" si="0"/>
        <v>-578638337.91690445</v>
      </c>
      <c r="AK9" s="155">
        <f t="shared" si="0"/>
        <v>-578649523.51603925</v>
      </c>
      <c r="AL9" s="155">
        <f t="shared" si="0"/>
        <v>-578660709.11517406</v>
      </c>
      <c r="AM9" s="155">
        <f t="shared" si="0"/>
        <v>-584344609.47209895</v>
      </c>
      <c r="AN9" s="155">
        <f t="shared" si="0"/>
        <v>-584344609.47209895</v>
      </c>
      <c r="AO9" s="155"/>
      <c r="AQ9" s="155">
        <f>+R9</f>
        <v>-521024747.17134768</v>
      </c>
      <c r="AR9" s="155">
        <f t="shared" ref="AR9:BC10" si="1">($BD9-$AQ9)/12*AR$6</f>
        <v>-3641858.4713173956</v>
      </c>
      <c r="AS9" s="155">
        <f t="shared" si="1"/>
        <v>-3304850.6724790693</v>
      </c>
      <c r="AT9" s="155">
        <f t="shared" si="1"/>
        <v>-2978714.0929581085</v>
      </c>
      <c r="AU9" s="155">
        <f t="shared" si="1"/>
        <v>-2641706.2941197827</v>
      </c>
      <c r="AV9" s="155">
        <f t="shared" si="1"/>
        <v>-2315569.7145988219</v>
      </c>
      <c r="AW9" s="155">
        <f t="shared" si="1"/>
        <v>-1978561.9157604955</v>
      </c>
      <c r="AX9" s="155">
        <f t="shared" si="1"/>
        <v>-1641554.1169221695</v>
      </c>
      <c r="AY9" s="155">
        <f t="shared" si="1"/>
        <v>-1337159.9760359393</v>
      </c>
      <c r="AZ9" s="155">
        <f t="shared" si="1"/>
        <v>-1000152.1771976132</v>
      </c>
      <c r="BA9" s="155">
        <f t="shared" si="1"/>
        <v>-674015.59767665225</v>
      </c>
      <c r="BB9" s="155">
        <f t="shared" si="1"/>
        <v>-337007.79883832613</v>
      </c>
      <c r="BC9" s="155">
        <f t="shared" si="1"/>
        <v>-10871.21931736536</v>
      </c>
      <c r="BD9" s="155">
        <f>+AE9</f>
        <v>-568640687.78140795</v>
      </c>
      <c r="BE9" s="155">
        <f>SUM(AQ9:BC9)</f>
        <v>-542886769.2185694</v>
      </c>
    </row>
    <row r="10" spans="1:57" x14ac:dyDescent="0.15">
      <c r="A10" s="39" t="s">
        <v>264</v>
      </c>
      <c r="G10" s="155">
        <f>+G153+G159+G169</f>
        <v>-113420710.05000009</v>
      </c>
      <c r="H10" s="155">
        <f>+H153+H159+H169</f>
        <v>-113420710.05000009</v>
      </c>
      <c r="I10" s="155">
        <f>+I153+I159+I169</f>
        <v>-113420710.05000009</v>
      </c>
      <c r="J10" s="155">
        <f>+J153+J159+J169</f>
        <v>-117100649.31478971</v>
      </c>
      <c r="K10" s="155">
        <f t="shared" ref="K10:AN10" si="2">+K153+K159+K169</f>
        <v>-117100649.31478971</v>
      </c>
      <c r="L10" s="155">
        <f t="shared" si="2"/>
        <v>-117100649.31478971</v>
      </c>
      <c r="M10" s="155">
        <f t="shared" si="2"/>
        <v>-119456834.71518129</v>
      </c>
      <c r="N10" s="155">
        <f t="shared" si="2"/>
        <v>-119456834.71518129</v>
      </c>
      <c r="O10" s="155">
        <f t="shared" si="2"/>
        <v>-119456834.71518129</v>
      </c>
      <c r="P10" s="155">
        <f t="shared" si="2"/>
        <v>-119456834.71518129</v>
      </c>
      <c r="Q10" s="155">
        <f t="shared" si="2"/>
        <v>-121628753.98266843</v>
      </c>
      <c r="R10" s="155">
        <f t="shared" si="2"/>
        <v>-121683217.75315087</v>
      </c>
      <c r="S10" s="155">
        <f t="shared" si="2"/>
        <v>-121683217.75315087</v>
      </c>
      <c r="T10" s="155">
        <f t="shared" si="2"/>
        <v>-123801581.87321892</v>
      </c>
      <c r="U10" s="155">
        <f t="shared" si="2"/>
        <v>-123801581.87321892</v>
      </c>
      <c r="V10" s="155">
        <f t="shared" si="2"/>
        <v>-123801581.87321892</v>
      </c>
      <c r="W10" s="155">
        <f t="shared" si="2"/>
        <v>-125974864.10764347</v>
      </c>
      <c r="X10" s="155">
        <f t="shared" si="2"/>
        <v>-125974864.10764347</v>
      </c>
      <c r="Y10" s="155">
        <f t="shared" si="2"/>
        <v>-125974864.10764347</v>
      </c>
      <c r="Z10" s="155">
        <f t="shared" si="2"/>
        <v>-128148146.34205601</v>
      </c>
      <c r="AA10" s="155">
        <f t="shared" si="2"/>
        <v>-128148146.34205601</v>
      </c>
      <c r="AB10" s="155">
        <f t="shared" si="2"/>
        <v>-128148146.34205601</v>
      </c>
      <c r="AC10" s="155">
        <f t="shared" si="2"/>
        <v>-128148146.34205601</v>
      </c>
      <c r="AD10" s="155">
        <f t="shared" si="2"/>
        <v>-129921786.45768148</v>
      </c>
      <c r="AE10" s="155">
        <f t="shared" si="2"/>
        <v>-129980351.04553877</v>
      </c>
      <c r="AF10" s="155">
        <f t="shared" si="2"/>
        <v>-129980351.04553877</v>
      </c>
      <c r="AG10" s="155">
        <f t="shared" si="2"/>
        <v>-131695426.57330696</v>
      </c>
      <c r="AH10" s="155">
        <f t="shared" si="2"/>
        <v>-131695426.57330696</v>
      </c>
      <c r="AI10" s="155">
        <f t="shared" si="2"/>
        <v>-131695426.57330696</v>
      </c>
      <c r="AJ10" s="155">
        <f t="shared" si="2"/>
        <v>-133469066.68893249</v>
      </c>
      <c r="AK10" s="155">
        <f t="shared" si="2"/>
        <v>-133469066.68893249</v>
      </c>
      <c r="AL10" s="155">
        <f t="shared" si="2"/>
        <v>-133469066.68893249</v>
      </c>
      <c r="AM10" s="155">
        <f t="shared" si="2"/>
        <v>-135242706.80455807</v>
      </c>
      <c r="AN10" s="155">
        <f t="shared" si="2"/>
        <v>-135242706.80455807</v>
      </c>
      <c r="AO10" s="155"/>
      <c r="AQ10" s="155">
        <f>+R10</f>
        <v>-121683217.75315087</v>
      </c>
      <c r="AR10" s="155">
        <f t="shared" si="1"/>
        <v>-634598.09428080986</v>
      </c>
      <c r="AS10" s="155">
        <f t="shared" si="1"/>
        <v>-575874.09152646631</v>
      </c>
      <c r="AT10" s="155">
        <f t="shared" si="1"/>
        <v>-519044.41144161765</v>
      </c>
      <c r="AU10" s="155">
        <f t="shared" si="1"/>
        <v>-460320.40868727403</v>
      </c>
      <c r="AV10" s="155">
        <f t="shared" si="1"/>
        <v>-403490.72860242543</v>
      </c>
      <c r="AW10" s="155">
        <f t="shared" si="1"/>
        <v>-344766.72584808181</v>
      </c>
      <c r="AX10" s="155">
        <f t="shared" si="1"/>
        <v>-286042.7230937382</v>
      </c>
      <c r="AY10" s="155">
        <f t="shared" si="1"/>
        <v>-233001.68834787945</v>
      </c>
      <c r="AZ10" s="155">
        <f t="shared" si="1"/>
        <v>-174277.68559353586</v>
      </c>
      <c r="BA10" s="155">
        <f t="shared" si="1"/>
        <v>-117448.0055086872</v>
      </c>
      <c r="BB10" s="155">
        <f t="shared" si="1"/>
        <v>-58724.002754343601</v>
      </c>
      <c r="BC10" s="155">
        <f t="shared" si="1"/>
        <v>-1894.3226694949549</v>
      </c>
      <c r="BD10" s="155">
        <f>+AE10</f>
        <v>-129980351.04553877</v>
      </c>
      <c r="BE10" s="155">
        <f>SUM(AQ10:BC10)</f>
        <v>-125492700.64150521</v>
      </c>
    </row>
    <row r="11" spans="1:57" s="177" customFormat="1" x14ac:dyDescent="0.15">
      <c r="A11" s="176"/>
      <c r="G11" s="178"/>
      <c r="H11" s="178">
        <f>SUM(H9:H10)-H13</f>
        <v>-1.3199918270111084</v>
      </c>
      <c r="I11" s="178">
        <f>SUM(I9:I10)-I13</f>
        <v>-1.3199837207794189</v>
      </c>
      <c r="J11" s="178">
        <f>SUM(J9:J10)-J13</f>
        <v>-9.387671947479248E-2</v>
      </c>
      <c r="K11" s="178">
        <f t="shared" ref="K11:AG11" si="3">SUM(K9:K10)-K13</f>
        <v>-9.3868613243103027E-2</v>
      </c>
      <c r="L11" s="178">
        <f t="shared" si="3"/>
        <v>-9.3860507011413574E-2</v>
      </c>
      <c r="M11" s="178">
        <f t="shared" si="3"/>
        <v>-9.3857645988464355E-2</v>
      </c>
      <c r="N11" s="178">
        <f t="shared" si="3"/>
        <v>-9.3857645988464355E-2</v>
      </c>
      <c r="O11" s="178">
        <f t="shared" si="3"/>
        <v>-9.3848347663879395E-2</v>
      </c>
      <c r="P11" s="178">
        <f t="shared" si="3"/>
        <v>-9.3840241432189941E-2</v>
      </c>
      <c r="Q11" s="178">
        <f t="shared" si="3"/>
        <v>-9.3848824501037598E-2</v>
      </c>
      <c r="R11" s="178">
        <f t="shared" si="3"/>
        <v>-9.3840479850769043E-2</v>
      </c>
      <c r="S11" s="178">
        <f t="shared" si="3"/>
        <v>-9.383237361907959E-2</v>
      </c>
      <c r="T11" s="178">
        <f t="shared" si="3"/>
        <v>-9.3833446502685547E-2</v>
      </c>
      <c r="U11" s="178">
        <f t="shared" si="3"/>
        <v>-9.3825221061706543E-2</v>
      </c>
      <c r="V11" s="178">
        <f t="shared" si="3"/>
        <v>-9.3817234039306641E-2</v>
      </c>
      <c r="W11" s="178">
        <f t="shared" si="3"/>
        <v>-9.381711483001709E-2</v>
      </c>
      <c r="X11" s="178">
        <f t="shared" si="3"/>
        <v>-9.3809127807617188E-2</v>
      </c>
      <c r="Y11" s="178">
        <f t="shared" si="3"/>
        <v>-9.3800783157348633E-2</v>
      </c>
      <c r="Z11" s="178">
        <f t="shared" si="3"/>
        <v>-9.3796253204345703E-2</v>
      </c>
      <c r="AA11" s="178">
        <f t="shared" si="3"/>
        <v>-9.3796253204345703E-2</v>
      </c>
      <c r="AB11" s="178">
        <f t="shared" si="3"/>
        <v>-9.3788027763366699E-2</v>
      </c>
      <c r="AC11" s="178">
        <f t="shared" si="3"/>
        <v>-9.3779921531677246E-2</v>
      </c>
      <c r="AD11" s="178">
        <f t="shared" si="3"/>
        <v>-9.3760371208190918E-2</v>
      </c>
      <c r="AE11" s="178">
        <f t="shared" si="3"/>
        <v>-9.3752741813659668E-2</v>
      </c>
      <c r="AF11" s="178">
        <f t="shared" si="3"/>
        <v>-9.3744635581970215E-2</v>
      </c>
      <c r="AG11" s="178">
        <f t="shared" si="3"/>
        <v>-9.3733072280883789E-2</v>
      </c>
      <c r="AH11" s="178">
        <f t="shared" ref="AH11:AN11" si="4">SUM(AH9:AH10)-AH13</f>
        <v>-9.3724966049194336E-2</v>
      </c>
      <c r="AI11" s="178">
        <f t="shared" si="4"/>
        <v>-9.3716979026794434E-2</v>
      </c>
      <c r="AJ11" s="178">
        <f t="shared" si="4"/>
        <v>-9.371495246887207E-2</v>
      </c>
      <c r="AK11" s="178">
        <f t="shared" si="4"/>
        <v>-9.3706846237182617E-2</v>
      </c>
      <c r="AL11" s="178">
        <f t="shared" si="4"/>
        <v>-9.3698620796203613E-2</v>
      </c>
      <c r="AM11" s="178">
        <f t="shared" si="4"/>
        <v>-9.3696951866149902E-2</v>
      </c>
      <c r="AN11" s="178">
        <f t="shared" si="4"/>
        <v>-9.3696951866149902E-2</v>
      </c>
      <c r="AO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</row>
    <row r="12" spans="1:57" x14ac:dyDescent="0.15">
      <c r="A12" s="179" t="s">
        <v>34</v>
      </c>
      <c r="G12" s="155"/>
      <c r="H12" s="155"/>
      <c r="AO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</row>
    <row r="13" spans="1:57" x14ac:dyDescent="0.15">
      <c r="A13" s="39" t="s">
        <v>35</v>
      </c>
      <c r="B13" s="155"/>
      <c r="C13" s="155"/>
      <c r="D13" s="155"/>
      <c r="E13" s="155"/>
      <c r="F13" s="155"/>
      <c r="G13" s="155">
        <f>-G5*1000</f>
        <v>-581202925.73000002</v>
      </c>
      <c r="H13" s="155">
        <f t="shared" ref="H13:M13" si="5">-H5*1000</f>
        <v>-581214111.32914305</v>
      </c>
      <c r="I13" s="155">
        <f t="shared" si="5"/>
        <v>-581225296.92828596</v>
      </c>
      <c r="J13" s="155">
        <f t="shared" si="5"/>
        <v>-609235315.29477096</v>
      </c>
      <c r="K13" s="155">
        <f t="shared" si="5"/>
        <v>-609246500.89391398</v>
      </c>
      <c r="L13" s="155">
        <f t="shared" si="5"/>
        <v>-609257686.49305689</v>
      </c>
      <c r="M13" s="155">
        <f t="shared" si="5"/>
        <v>-627000003.82400095</v>
      </c>
      <c r="N13" s="155">
        <f t="shared" ref="N13:Z13" si="6">-N5*1000</f>
        <v>-627000003.82400095</v>
      </c>
      <c r="O13" s="155">
        <f t="shared" si="6"/>
        <v>-627011189.42314506</v>
      </c>
      <c r="P13" s="155">
        <f t="shared" si="6"/>
        <v>-627022375.02228796</v>
      </c>
      <c r="Q13" s="155">
        <f t="shared" si="6"/>
        <v>-642416943.16016889</v>
      </c>
      <c r="R13" s="155">
        <f t="shared" si="6"/>
        <v>-642707964.83065808</v>
      </c>
      <c r="S13" s="155">
        <f t="shared" si="6"/>
        <v>-642719150.42980099</v>
      </c>
      <c r="T13" s="155">
        <f t="shared" si="6"/>
        <v>-659626158.91005599</v>
      </c>
      <c r="U13" s="155">
        <f t="shared" si="6"/>
        <v>-659637344.50919902</v>
      </c>
      <c r="V13" s="155">
        <f t="shared" si="6"/>
        <v>-659648530.10834193</v>
      </c>
      <c r="W13" s="155">
        <f t="shared" si="6"/>
        <v>-675759036.11470509</v>
      </c>
      <c r="X13" s="155">
        <f t="shared" si="6"/>
        <v>-675770221.71384799</v>
      </c>
      <c r="Y13" s="155">
        <f t="shared" si="6"/>
        <v>-675781407.31299102</v>
      </c>
      <c r="Z13" s="155">
        <f t="shared" si="6"/>
        <v>-692482380.388134</v>
      </c>
      <c r="AA13" s="155">
        <f t="shared" ref="AA13:AG13" si="7">-AA5*1000</f>
        <v>-692482380.388134</v>
      </c>
      <c r="AB13" s="155">
        <f t="shared" si="7"/>
        <v>-692493565.98727691</v>
      </c>
      <c r="AC13" s="155">
        <f t="shared" si="7"/>
        <v>-692504751.58641994</v>
      </c>
      <c r="AD13" s="155">
        <f t="shared" si="7"/>
        <v>-697998058.01364696</v>
      </c>
      <c r="AE13" s="155">
        <f t="shared" si="7"/>
        <v>-698621038.73319399</v>
      </c>
      <c r="AF13" s="155">
        <f t="shared" si="7"/>
        <v>-698320654.20523596</v>
      </c>
      <c r="AG13" s="155">
        <f t="shared" si="7"/>
        <v>-705771281.69941604</v>
      </c>
      <c r="AH13" s="155">
        <f t="shared" ref="AH13:AN13" si="8">-AH5*1000</f>
        <v>-705782467.29855907</v>
      </c>
      <c r="AI13" s="155">
        <f t="shared" si="8"/>
        <v>-705793652.89770198</v>
      </c>
      <c r="AJ13" s="155">
        <f t="shared" si="8"/>
        <v>-712107404.51212204</v>
      </c>
      <c r="AK13" s="155">
        <f t="shared" si="8"/>
        <v>-712118590.11126494</v>
      </c>
      <c r="AL13" s="155">
        <f t="shared" si="8"/>
        <v>-712129775.71040797</v>
      </c>
      <c r="AM13" s="155">
        <f t="shared" si="8"/>
        <v>-719587316.18296003</v>
      </c>
      <c r="AN13" s="155">
        <f t="shared" si="8"/>
        <v>-719587316.18296003</v>
      </c>
      <c r="AO13" s="155"/>
      <c r="AQ13" s="155">
        <f>+R13</f>
        <v>-642707964.83065808</v>
      </c>
      <c r="AR13" s="155">
        <f>($BD13-$AQ13)/12*AR$6</f>
        <v>-4276456.5656049158</v>
      </c>
      <c r="AS13" s="155">
        <f t="shared" ref="AS13:BC13" si="9">($BD13-$AQ13)/12*AS$6</f>
        <v>-3880724.7640116257</v>
      </c>
      <c r="AT13" s="155">
        <f t="shared" si="9"/>
        <v>-3497758.5044052149</v>
      </c>
      <c r="AU13" s="155">
        <f t="shared" si="9"/>
        <v>-3102026.7028119243</v>
      </c>
      <c r="AV13" s="155">
        <f t="shared" si="9"/>
        <v>-2719060.443205514</v>
      </c>
      <c r="AW13" s="155">
        <f t="shared" si="9"/>
        <v>-2323328.6416122233</v>
      </c>
      <c r="AX13" s="155">
        <f t="shared" si="9"/>
        <v>-1927596.8400189325</v>
      </c>
      <c r="AY13" s="155">
        <f t="shared" si="9"/>
        <v>-1570161.6643862827</v>
      </c>
      <c r="AZ13" s="155">
        <f t="shared" si="9"/>
        <v>-1174429.862792992</v>
      </c>
      <c r="BA13" s="155">
        <f t="shared" si="9"/>
        <v>-791463.60318658152</v>
      </c>
      <c r="BB13" s="155">
        <f t="shared" si="9"/>
        <v>-395731.80159329076</v>
      </c>
      <c r="BC13" s="155">
        <f t="shared" si="9"/>
        <v>-12765.541986880347</v>
      </c>
      <c r="BD13" s="155">
        <f>+AE13</f>
        <v>-698621038.73319399</v>
      </c>
      <c r="BE13" s="155">
        <f>SUM(AQ13:BC13)</f>
        <v>-668379469.76627445</v>
      </c>
    </row>
    <row r="14" spans="1:57" x14ac:dyDescent="0.15">
      <c r="C14" s="40">
        <f>+C13-B13</f>
        <v>0</v>
      </c>
      <c r="G14" s="155">
        <f>+G13-F13</f>
        <v>-581202925.73000002</v>
      </c>
      <c r="H14" s="155">
        <f>+H13-G13</f>
        <v>-11185.599143028259</v>
      </c>
      <c r="I14" s="155">
        <f>+I13-H13</f>
        <v>-11185.59914290905</v>
      </c>
      <c r="J14" s="155">
        <f>+J13-I13</f>
        <v>-28010018.366485</v>
      </c>
      <c r="K14" s="155">
        <f>+K13-J13</f>
        <v>-11185.599143028259</v>
      </c>
      <c r="L14" s="155">
        <f t="shared" ref="L14:AN14" si="10">+L13-K13</f>
        <v>-11185.59914290905</v>
      </c>
      <c r="M14" s="155">
        <f t="shared" si="10"/>
        <v>-17742317.330944061</v>
      </c>
      <c r="N14" s="155">
        <f>+N13-M13</f>
        <v>0</v>
      </c>
      <c r="O14" s="155">
        <f>+O13-N13</f>
        <v>-11185.599144101143</v>
      </c>
      <c r="P14" s="155">
        <f t="shared" si="10"/>
        <v>-11185.59914290905</v>
      </c>
      <c r="Q14" s="155">
        <f t="shared" si="10"/>
        <v>-15394568.137880921</v>
      </c>
      <c r="R14" s="155">
        <f t="shared" si="10"/>
        <v>-291021.67048919201</v>
      </c>
      <c r="S14" s="155">
        <f t="shared" si="10"/>
        <v>-11185.59914290905</v>
      </c>
      <c r="T14" s="155">
        <f t="shared" si="10"/>
        <v>-16907008.480255008</v>
      </c>
      <c r="U14" s="155">
        <f t="shared" si="10"/>
        <v>-11185.599143028259</v>
      </c>
      <c r="V14" s="155">
        <f t="shared" si="10"/>
        <v>-11185.59914290905</v>
      </c>
      <c r="W14" s="155">
        <f t="shared" si="10"/>
        <v>-16110506.006363153</v>
      </c>
      <c r="X14" s="155">
        <f t="shared" si="10"/>
        <v>-11185.59914290905</v>
      </c>
      <c r="Y14" s="155">
        <f t="shared" si="10"/>
        <v>-11185.599143028259</v>
      </c>
      <c r="Z14" s="155">
        <f t="shared" si="10"/>
        <v>-16700973.07514298</v>
      </c>
      <c r="AA14" s="155">
        <f t="shared" si="10"/>
        <v>0</v>
      </c>
      <c r="AB14" s="155">
        <f t="shared" si="10"/>
        <v>-11185.59914290905</v>
      </c>
      <c r="AC14" s="155">
        <f t="shared" si="10"/>
        <v>-11185.599143028259</v>
      </c>
      <c r="AD14" s="155">
        <f t="shared" si="10"/>
        <v>-5493306.4272270203</v>
      </c>
      <c r="AE14" s="155">
        <f t="shared" si="10"/>
        <v>-622980.71954703331</v>
      </c>
      <c r="AF14" s="155">
        <f t="shared" si="10"/>
        <v>300384.52795803547</v>
      </c>
      <c r="AG14" s="155">
        <f t="shared" si="10"/>
        <v>-7450627.4941800833</v>
      </c>
      <c r="AH14" s="155">
        <f t="shared" si="10"/>
        <v>-11185.599143028259</v>
      </c>
      <c r="AI14" s="155">
        <f t="shared" si="10"/>
        <v>-11185.59914290905</v>
      </c>
      <c r="AJ14" s="155">
        <f t="shared" si="10"/>
        <v>-6313751.6144200563</v>
      </c>
      <c r="AK14" s="155">
        <f t="shared" si="10"/>
        <v>-11185.59914290905</v>
      </c>
      <c r="AL14" s="155">
        <f t="shared" si="10"/>
        <v>-11185.599143028259</v>
      </c>
      <c r="AM14" s="155">
        <f t="shared" si="10"/>
        <v>-7457540.4725520611</v>
      </c>
      <c r="AN14" s="155">
        <f t="shared" si="10"/>
        <v>0</v>
      </c>
      <c r="AO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</row>
    <row r="15" spans="1:57" x14ac:dyDescent="0.15">
      <c r="G15" s="155"/>
      <c r="H15" s="155"/>
      <c r="AO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</row>
    <row r="16" spans="1:57" x14ac:dyDescent="0.15">
      <c r="A16" s="180" t="s">
        <v>265</v>
      </c>
      <c r="G16" s="155"/>
      <c r="H16" s="155"/>
      <c r="M16" s="200" t="s">
        <v>1041</v>
      </c>
      <c r="AO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200" t="s">
        <v>1042</v>
      </c>
    </row>
    <row r="17" spans="1:57" x14ac:dyDescent="0.15">
      <c r="A17" s="39" t="s">
        <v>86</v>
      </c>
      <c r="G17" s="155">
        <f>+G100</f>
        <v>-918791722.2299999</v>
      </c>
      <c r="H17" s="155">
        <f>+H100</f>
        <v>-918802907.8291347</v>
      </c>
      <c r="I17" s="155">
        <f>+I100</f>
        <v>-918814093.42826951</v>
      </c>
      <c r="J17" s="155">
        <f>+J100</f>
        <v>-941352801.47571719</v>
      </c>
      <c r="K17" s="155">
        <f t="shared" ref="K17:AN17" si="11">+K100</f>
        <v>-941363987.07485211</v>
      </c>
      <c r="L17" s="155">
        <f t="shared" si="11"/>
        <v>-941375172.67398691</v>
      </c>
      <c r="M17" s="200">
        <f t="shared" si="11"/>
        <v>-954474887.82356501</v>
      </c>
      <c r="N17" s="155">
        <f t="shared" si="11"/>
        <v>-954474887.82356501</v>
      </c>
      <c r="O17" s="155">
        <f t="shared" si="11"/>
        <v>-954486073.42269981</v>
      </c>
      <c r="P17" s="155">
        <f t="shared" si="11"/>
        <v>-954497259.02183461</v>
      </c>
      <c r="Q17" s="155">
        <f t="shared" si="11"/>
        <v>-964711081.35184085</v>
      </c>
      <c r="R17" s="155">
        <f t="shared" si="11"/>
        <v>-964044343.45679533</v>
      </c>
      <c r="S17" s="155">
        <f t="shared" si="11"/>
        <v>-964055529.05593014</v>
      </c>
      <c r="T17" s="155">
        <f t="shared" si="11"/>
        <v>-976723572.92093694</v>
      </c>
      <c r="U17" s="155">
        <f t="shared" si="11"/>
        <v>-976734758.52007174</v>
      </c>
      <c r="V17" s="155">
        <f t="shared" si="11"/>
        <v>-976745944.11920667</v>
      </c>
      <c r="W17" s="155">
        <f t="shared" si="11"/>
        <v>-987651736.18944824</v>
      </c>
      <c r="X17" s="155">
        <f t="shared" si="11"/>
        <v>-987662921.78858304</v>
      </c>
      <c r="Y17" s="155">
        <f t="shared" si="11"/>
        <v>-987674107.38771784</v>
      </c>
      <c r="Z17" s="155">
        <f t="shared" si="11"/>
        <v>-999170366.52674663</v>
      </c>
      <c r="AA17" s="155">
        <f t="shared" si="11"/>
        <v>-999170366.52674663</v>
      </c>
      <c r="AB17" s="155">
        <f t="shared" si="11"/>
        <v>-999181552.12588143</v>
      </c>
      <c r="AC17" s="155">
        <f t="shared" si="11"/>
        <v>-999192737.72501636</v>
      </c>
      <c r="AD17" s="155">
        <f t="shared" si="11"/>
        <v>-999699402.24500537</v>
      </c>
      <c r="AE17" s="155">
        <f t="shared" si="11"/>
        <v>-999295239.5973438</v>
      </c>
      <c r="AF17" s="155">
        <f t="shared" si="11"/>
        <v>-998994855.06937766</v>
      </c>
      <c r="AG17" s="155">
        <f t="shared" si="11"/>
        <v>-1002485984.0235286</v>
      </c>
      <c r="AH17" s="155">
        <f t="shared" si="11"/>
        <v>-1002497169.6226635</v>
      </c>
      <c r="AI17" s="155">
        <f t="shared" si="11"/>
        <v>-1002508355.2217983</v>
      </c>
      <c r="AJ17" s="155">
        <f t="shared" si="11"/>
        <v>-1003835464.9289976</v>
      </c>
      <c r="AK17" s="155">
        <f t="shared" si="11"/>
        <v>-1003846650.5281324</v>
      </c>
      <c r="AL17" s="155">
        <f t="shared" si="11"/>
        <v>-1003857836.1272672</v>
      </c>
      <c r="AM17" s="155">
        <f t="shared" si="11"/>
        <v>-1006328734.6925991</v>
      </c>
      <c r="AN17" s="155">
        <f t="shared" si="11"/>
        <v>-1006328734.6925991</v>
      </c>
      <c r="AO17" s="155"/>
      <c r="AQ17" s="155">
        <f t="shared" ref="AQ17:AQ22" si="12">+R17</f>
        <v>-964044343.45679533</v>
      </c>
      <c r="AR17" s="155">
        <f t="shared" ref="AR17:AR22" si="13">($BD17-$AQ17)/12*AR$6</f>
        <v>-2696130.1842656932</v>
      </c>
      <c r="AS17" s="155">
        <f t="shared" ref="AS17:BC22" si="14">($BD17-$AQ17)/12*AS$6</f>
        <v>-2446637.5403485694</v>
      </c>
      <c r="AT17" s="155">
        <f t="shared" si="14"/>
        <v>-2205193.0462352238</v>
      </c>
      <c r="AU17" s="155">
        <f t="shared" si="14"/>
        <v>-1955700.4023181</v>
      </c>
      <c r="AV17" s="155">
        <f t="shared" si="14"/>
        <v>-1714255.9082047543</v>
      </c>
      <c r="AW17" s="155">
        <f t="shared" si="14"/>
        <v>-1464763.2642876303</v>
      </c>
      <c r="AX17" s="155">
        <f t="shared" si="14"/>
        <v>-1215270.6203705065</v>
      </c>
      <c r="AY17" s="155">
        <f t="shared" si="14"/>
        <v>-989922.42586471722</v>
      </c>
      <c r="AZ17" s="155">
        <f t="shared" si="14"/>
        <v>-740429.78194759344</v>
      </c>
      <c r="BA17" s="155">
        <f t="shared" si="14"/>
        <v>-498985.28783424769</v>
      </c>
      <c r="BB17" s="155">
        <f t="shared" si="14"/>
        <v>-249492.64391712385</v>
      </c>
      <c r="BC17" s="155">
        <f t="shared" si="14"/>
        <v>-8048.1498037781885</v>
      </c>
      <c r="BD17" s="155">
        <f t="shared" ref="BD17:BD22" si="15">+AE17</f>
        <v>-999295239.5973438</v>
      </c>
      <c r="BE17" s="200">
        <f t="shared" ref="BE17:BE22" si="16">SUM(AQ17:BC17)</f>
        <v>-980229172.71219325</v>
      </c>
    </row>
    <row r="18" spans="1:57" x14ac:dyDescent="0.15">
      <c r="A18" s="39" t="s">
        <v>91</v>
      </c>
      <c r="G18" s="155">
        <f>+G153</f>
        <v>-223927958.14000008</v>
      </c>
      <c r="H18" s="155">
        <f>+H153</f>
        <v>-223927958.14000008</v>
      </c>
      <c r="I18" s="155">
        <f>+I153</f>
        <v>-223927958.14000008</v>
      </c>
      <c r="J18" s="155">
        <f>+J153</f>
        <v>-227190329.54621902</v>
      </c>
      <c r="K18" s="155">
        <f t="shared" ref="K18:AN18" si="17">+K153</f>
        <v>-227190329.54621902</v>
      </c>
      <c r="L18" s="155">
        <f t="shared" si="17"/>
        <v>-227190329.54621902</v>
      </c>
      <c r="M18" s="200">
        <f t="shared" si="17"/>
        <v>-229011299.24822685</v>
      </c>
      <c r="N18" s="155">
        <f t="shared" si="17"/>
        <v>-229011299.24822685</v>
      </c>
      <c r="O18" s="155">
        <f t="shared" si="17"/>
        <v>-229011299.24822685</v>
      </c>
      <c r="P18" s="155">
        <f t="shared" si="17"/>
        <v>-229011299.24822685</v>
      </c>
      <c r="Q18" s="155">
        <f t="shared" si="17"/>
        <v>-230464435.0464417</v>
      </c>
      <c r="R18" s="155">
        <f t="shared" si="17"/>
        <v>-230300607.15166387</v>
      </c>
      <c r="S18" s="155">
        <f t="shared" si="17"/>
        <v>-230300607.15166387</v>
      </c>
      <c r="T18" s="155">
        <f t="shared" si="17"/>
        <v>-231914837.69189933</v>
      </c>
      <c r="U18" s="155">
        <f t="shared" si="17"/>
        <v>-231914837.69189933</v>
      </c>
      <c r="V18" s="155">
        <f t="shared" si="17"/>
        <v>-231914837.69189933</v>
      </c>
      <c r="W18" s="155">
        <f t="shared" si="17"/>
        <v>-233363873.66365555</v>
      </c>
      <c r="X18" s="155">
        <f t="shared" si="17"/>
        <v>-233363873.66365555</v>
      </c>
      <c r="Y18" s="155">
        <f t="shared" si="17"/>
        <v>-233363873.66365555</v>
      </c>
      <c r="Z18" s="155">
        <f t="shared" si="17"/>
        <v>-234812909.63539976</v>
      </c>
      <c r="AA18" s="155">
        <f t="shared" si="17"/>
        <v>-234812909.63539976</v>
      </c>
      <c r="AB18" s="155">
        <f t="shared" si="17"/>
        <v>-234812909.63539976</v>
      </c>
      <c r="AC18" s="155">
        <f t="shared" si="17"/>
        <v>-234812909.63539976</v>
      </c>
      <c r="AD18" s="155">
        <f t="shared" si="17"/>
        <v>-235815429.54476115</v>
      </c>
      <c r="AE18" s="155">
        <f t="shared" si="17"/>
        <v>-235639266.32557514</v>
      </c>
      <c r="AF18" s="155">
        <f t="shared" si="17"/>
        <v>-235639266.32557514</v>
      </c>
      <c r="AG18" s="155">
        <f t="shared" si="17"/>
        <v>-236817949.45412257</v>
      </c>
      <c r="AH18" s="155">
        <f t="shared" si="17"/>
        <v>-236817949.45412257</v>
      </c>
      <c r="AI18" s="155">
        <f t="shared" si="17"/>
        <v>-236817949.45412257</v>
      </c>
      <c r="AJ18" s="155">
        <f t="shared" si="17"/>
        <v>-237820469.36348403</v>
      </c>
      <c r="AK18" s="155">
        <f t="shared" si="17"/>
        <v>-237820469.36348403</v>
      </c>
      <c r="AL18" s="155">
        <f t="shared" si="17"/>
        <v>-237820469.36348403</v>
      </c>
      <c r="AM18" s="155">
        <f t="shared" si="17"/>
        <v>-238822989.27284554</v>
      </c>
      <c r="AN18" s="155">
        <f t="shared" si="17"/>
        <v>-238822989.27284554</v>
      </c>
      <c r="AO18" s="155"/>
      <c r="AQ18" s="155">
        <f t="shared" si="12"/>
        <v>-230300607.15166387</v>
      </c>
      <c r="AR18" s="155">
        <f t="shared" si="13"/>
        <v>-408322.10576718644</v>
      </c>
      <c r="AS18" s="155">
        <f t="shared" si="14"/>
        <v>-370537.07508425275</v>
      </c>
      <c r="AT18" s="155">
        <f t="shared" si="14"/>
        <v>-333970.91635883308</v>
      </c>
      <c r="AU18" s="155">
        <f t="shared" si="14"/>
        <v>-296185.88567589945</v>
      </c>
      <c r="AV18" s="155">
        <f t="shared" si="14"/>
        <v>-259619.72695047976</v>
      </c>
      <c r="AW18" s="155">
        <f t="shared" si="14"/>
        <v>-221834.69626754607</v>
      </c>
      <c r="AX18" s="155">
        <f t="shared" si="14"/>
        <v>-184049.6655846124</v>
      </c>
      <c r="AY18" s="155">
        <f t="shared" si="14"/>
        <v>-149921.25077422068</v>
      </c>
      <c r="AZ18" s="155">
        <f t="shared" si="14"/>
        <v>-112136.22009128703</v>
      </c>
      <c r="BA18" s="155">
        <f t="shared" si="14"/>
        <v>-75570.061365867339</v>
      </c>
      <c r="BB18" s="155">
        <f t="shared" si="14"/>
        <v>-37785.03068293367</v>
      </c>
      <c r="BC18" s="155">
        <f t="shared" si="14"/>
        <v>-1218.8719575139894</v>
      </c>
      <c r="BD18" s="155">
        <f t="shared" si="15"/>
        <v>-235639266.32557514</v>
      </c>
      <c r="BE18" s="200">
        <f t="shared" si="16"/>
        <v>-232751758.65822449</v>
      </c>
    </row>
    <row r="19" spans="1:57" x14ac:dyDescent="0.15">
      <c r="A19" s="39" t="s">
        <v>93</v>
      </c>
      <c r="G19" s="155">
        <f>+G156</f>
        <v>40994.36</v>
      </c>
      <c r="H19" s="155">
        <f>+H156</f>
        <v>40994.36</v>
      </c>
      <c r="I19" s="155">
        <f>+I156</f>
        <v>40994.36</v>
      </c>
      <c r="J19" s="155">
        <f>+J156</f>
        <v>40994.36</v>
      </c>
      <c r="K19" s="155">
        <f t="shared" ref="K19:AN19" si="18">+K156</f>
        <v>40994.36</v>
      </c>
      <c r="L19" s="155">
        <f t="shared" si="18"/>
        <v>40994.36</v>
      </c>
      <c r="M19" s="155">
        <f t="shared" si="18"/>
        <v>40994.36</v>
      </c>
      <c r="N19" s="155">
        <f t="shared" si="18"/>
        <v>40994.36</v>
      </c>
      <c r="O19" s="155">
        <f t="shared" si="18"/>
        <v>40994.36</v>
      </c>
      <c r="P19" s="155">
        <f t="shared" si="18"/>
        <v>40994.36</v>
      </c>
      <c r="Q19" s="155">
        <f t="shared" si="18"/>
        <v>40994.36</v>
      </c>
      <c r="R19" s="155">
        <f t="shared" si="18"/>
        <v>40994.36</v>
      </c>
      <c r="S19" s="155">
        <f t="shared" si="18"/>
        <v>40994.36</v>
      </c>
      <c r="T19" s="155">
        <f t="shared" si="18"/>
        <v>40994.36</v>
      </c>
      <c r="U19" s="155">
        <f t="shared" si="18"/>
        <v>40994.36</v>
      </c>
      <c r="V19" s="155">
        <f t="shared" si="18"/>
        <v>40994.36</v>
      </c>
      <c r="W19" s="155">
        <f t="shared" si="18"/>
        <v>40994.36</v>
      </c>
      <c r="X19" s="155">
        <f t="shared" si="18"/>
        <v>40994.36</v>
      </c>
      <c r="Y19" s="155">
        <f t="shared" si="18"/>
        <v>40994.36</v>
      </c>
      <c r="Z19" s="155">
        <f t="shared" si="18"/>
        <v>40994.36</v>
      </c>
      <c r="AA19" s="155">
        <f t="shared" si="18"/>
        <v>40994.36</v>
      </c>
      <c r="AB19" s="155">
        <f t="shared" si="18"/>
        <v>40994.36</v>
      </c>
      <c r="AC19" s="155">
        <f t="shared" si="18"/>
        <v>40994.36</v>
      </c>
      <c r="AD19" s="155">
        <f t="shared" si="18"/>
        <v>40994.36</v>
      </c>
      <c r="AE19" s="155">
        <f t="shared" si="18"/>
        <v>40994.36</v>
      </c>
      <c r="AF19" s="155">
        <f t="shared" si="18"/>
        <v>40994.36</v>
      </c>
      <c r="AG19" s="155">
        <f t="shared" si="18"/>
        <v>40994.36</v>
      </c>
      <c r="AH19" s="155">
        <f t="shared" si="18"/>
        <v>40994.36</v>
      </c>
      <c r="AI19" s="155">
        <f t="shared" si="18"/>
        <v>40994.36</v>
      </c>
      <c r="AJ19" s="155">
        <f t="shared" si="18"/>
        <v>40994.36</v>
      </c>
      <c r="AK19" s="155">
        <f t="shared" si="18"/>
        <v>40994.36</v>
      </c>
      <c r="AL19" s="155">
        <f t="shared" si="18"/>
        <v>40994.36</v>
      </c>
      <c r="AM19" s="155">
        <f t="shared" si="18"/>
        <v>40994.36</v>
      </c>
      <c r="AN19" s="155">
        <f t="shared" si="18"/>
        <v>40994.36</v>
      </c>
      <c r="AO19" s="155"/>
      <c r="AQ19" s="155">
        <f t="shared" si="12"/>
        <v>40994.36</v>
      </c>
      <c r="AR19" s="155">
        <f t="shared" si="13"/>
        <v>0</v>
      </c>
      <c r="AS19" s="155">
        <f t="shared" si="14"/>
        <v>0</v>
      </c>
      <c r="AT19" s="155">
        <f t="shared" si="14"/>
        <v>0</v>
      </c>
      <c r="AU19" s="155">
        <f t="shared" si="14"/>
        <v>0</v>
      </c>
      <c r="AV19" s="155">
        <f t="shared" si="14"/>
        <v>0</v>
      </c>
      <c r="AW19" s="155">
        <f t="shared" si="14"/>
        <v>0</v>
      </c>
      <c r="AX19" s="155">
        <f t="shared" si="14"/>
        <v>0</v>
      </c>
      <c r="AY19" s="155">
        <f t="shared" si="14"/>
        <v>0</v>
      </c>
      <c r="AZ19" s="155">
        <f t="shared" si="14"/>
        <v>0</v>
      </c>
      <c r="BA19" s="155">
        <f t="shared" si="14"/>
        <v>0</v>
      </c>
      <c r="BB19" s="155">
        <f t="shared" si="14"/>
        <v>0</v>
      </c>
      <c r="BC19" s="155">
        <f t="shared" si="14"/>
        <v>0</v>
      </c>
      <c r="BD19" s="155">
        <f t="shared" si="15"/>
        <v>40994.36</v>
      </c>
      <c r="BE19" s="155">
        <f t="shared" si="16"/>
        <v>40994.36</v>
      </c>
    </row>
    <row r="20" spans="1:57" x14ac:dyDescent="0.15">
      <c r="A20" s="39" t="s">
        <v>94</v>
      </c>
      <c r="G20" s="155">
        <f>+G159</f>
        <v>10196.52</v>
      </c>
      <c r="H20" s="155">
        <f>+H159</f>
        <v>10196.52</v>
      </c>
      <c r="I20" s="155">
        <f>+I159</f>
        <v>10196.52</v>
      </c>
      <c r="J20" s="155">
        <f>+J159</f>
        <v>10196.52</v>
      </c>
      <c r="K20" s="155">
        <f t="shared" ref="K20:AN20" si="19">+K159</f>
        <v>10196.52</v>
      </c>
      <c r="L20" s="155">
        <f t="shared" si="19"/>
        <v>10196.52</v>
      </c>
      <c r="M20" s="155">
        <f t="shared" si="19"/>
        <v>10196.52</v>
      </c>
      <c r="N20" s="155">
        <f t="shared" si="19"/>
        <v>10196.52</v>
      </c>
      <c r="O20" s="155">
        <f t="shared" si="19"/>
        <v>10196.52</v>
      </c>
      <c r="P20" s="155">
        <f t="shared" si="19"/>
        <v>10196.52</v>
      </c>
      <c r="Q20" s="155">
        <f t="shared" si="19"/>
        <v>10196.52</v>
      </c>
      <c r="R20" s="155">
        <f t="shared" si="19"/>
        <v>10196.52</v>
      </c>
      <c r="S20" s="155">
        <f t="shared" si="19"/>
        <v>10196.52</v>
      </c>
      <c r="T20" s="155">
        <f t="shared" si="19"/>
        <v>10196.52</v>
      </c>
      <c r="U20" s="155">
        <f t="shared" si="19"/>
        <v>10196.52</v>
      </c>
      <c r="V20" s="155">
        <f t="shared" si="19"/>
        <v>10196.52</v>
      </c>
      <c r="W20" s="155">
        <f t="shared" si="19"/>
        <v>10196.52</v>
      </c>
      <c r="X20" s="155">
        <f t="shared" si="19"/>
        <v>10196.52</v>
      </c>
      <c r="Y20" s="155">
        <f t="shared" si="19"/>
        <v>10196.52</v>
      </c>
      <c r="Z20" s="155">
        <f t="shared" si="19"/>
        <v>10196.52</v>
      </c>
      <c r="AA20" s="155">
        <f t="shared" si="19"/>
        <v>10196.52</v>
      </c>
      <c r="AB20" s="155">
        <f t="shared" si="19"/>
        <v>10196.52</v>
      </c>
      <c r="AC20" s="155">
        <f t="shared" si="19"/>
        <v>10196.52</v>
      </c>
      <c r="AD20" s="155">
        <f t="shared" si="19"/>
        <v>10196.52</v>
      </c>
      <c r="AE20" s="155">
        <f t="shared" si="19"/>
        <v>10196.52</v>
      </c>
      <c r="AF20" s="155">
        <f t="shared" si="19"/>
        <v>10196.52</v>
      </c>
      <c r="AG20" s="155">
        <f t="shared" si="19"/>
        <v>10196.52</v>
      </c>
      <c r="AH20" s="155">
        <f t="shared" si="19"/>
        <v>10196.52</v>
      </c>
      <c r="AI20" s="155">
        <f t="shared" si="19"/>
        <v>10196.52</v>
      </c>
      <c r="AJ20" s="155">
        <f t="shared" si="19"/>
        <v>10196.52</v>
      </c>
      <c r="AK20" s="155">
        <f t="shared" si="19"/>
        <v>10196.52</v>
      </c>
      <c r="AL20" s="155">
        <f t="shared" si="19"/>
        <v>10196.52</v>
      </c>
      <c r="AM20" s="155">
        <f t="shared" si="19"/>
        <v>10196.52</v>
      </c>
      <c r="AN20" s="155">
        <f t="shared" si="19"/>
        <v>10196.52</v>
      </c>
      <c r="AO20" s="155"/>
      <c r="AQ20" s="155">
        <f t="shared" si="12"/>
        <v>10196.52</v>
      </c>
      <c r="AR20" s="155">
        <f t="shared" si="13"/>
        <v>0</v>
      </c>
      <c r="AS20" s="155">
        <f t="shared" si="14"/>
        <v>0</v>
      </c>
      <c r="AT20" s="155">
        <f t="shared" si="14"/>
        <v>0</v>
      </c>
      <c r="AU20" s="155">
        <f t="shared" si="14"/>
        <v>0</v>
      </c>
      <c r="AV20" s="155">
        <f t="shared" si="14"/>
        <v>0</v>
      </c>
      <c r="AW20" s="155">
        <f t="shared" si="14"/>
        <v>0</v>
      </c>
      <c r="AX20" s="155">
        <f t="shared" si="14"/>
        <v>0</v>
      </c>
      <c r="AY20" s="155">
        <f t="shared" si="14"/>
        <v>0</v>
      </c>
      <c r="AZ20" s="155">
        <f t="shared" si="14"/>
        <v>0</v>
      </c>
      <c r="BA20" s="155">
        <f t="shared" si="14"/>
        <v>0</v>
      </c>
      <c r="BB20" s="155">
        <f t="shared" si="14"/>
        <v>0</v>
      </c>
      <c r="BC20" s="155">
        <f t="shared" si="14"/>
        <v>0</v>
      </c>
      <c r="BD20" s="155">
        <f t="shared" si="15"/>
        <v>10196.52</v>
      </c>
      <c r="BE20" s="155">
        <f t="shared" si="16"/>
        <v>10196.52</v>
      </c>
    </row>
    <row r="21" spans="1:57" x14ac:dyDescent="0.15">
      <c r="A21" s="39" t="s">
        <v>111</v>
      </c>
      <c r="G21" s="155">
        <f>+G165</f>
        <v>450968510.86999995</v>
      </c>
      <c r="H21" s="155">
        <f>+H165</f>
        <v>450968510.86999995</v>
      </c>
      <c r="I21" s="155">
        <f>+I165</f>
        <v>450968510.86999995</v>
      </c>
      <c r="J21" s="155">
        <f>+J165</f>
        <v>449177141.04185921</v>
      </c>
      <c r="K21" s="155">
        <f t="shared" ref="K21:AN21" si="20">+K165</f>
        <v>449177141.04185921</v>
      </c>
      <c r="L21" s="155">
        <f t="shared" si="20"/>
        <v>449177141.04185921</v>
      </c>
      <c r="M21" s="155">
        <f t="shared" si="20"/>
        <v>446890724.26088768</v>
      </c>
      <c r="N21" s="155">
        <f t="shared" si="20"/>
        <v>446890724.26088768</v>
      </c>
      <c r="O21" s="155">
        <f t="shared" si="20"/>
        <v>446890724.26088768</v>
      </c>
      <c r="P21" s="155">
        <f t="shared" si="20"/>
        <v>446890724.26088768</v>
      </c>
      <c r="Q21" s="155">
        <f t="shared" si="20"/>
        <v>443881897.72049159</v>
      </c>
      <c r="R21" s="155">
        <f t="shared" si="20"/>
        <v>442978601.92544764</v>
      </c>
      <c r="S21" s="155">
        <f t="shared" si="20"/>
        <v>442978601.92544764</v>
      </c>
      <c r="T21" s="155">
        <f t="shared" si="20"/>
        <v>440858001.43026638</v>
      </c>
      <c r="U21" s="155">
        <f t="shared" si="20"/>
        <v>440858001.43026638</v>
      </c>
      <c r="V21" s="155">
        <f t="shared" si="20"/>
        <v>440858001.43026638</v>
      </c>
      <c r="W21" s="155">
        <f t="shared" si="20"/>
        <v>437826569.72856945</v>
      </c>
      <c r="X21" s="155">
        <f t="shared" si="20"/>
        <v>437826569.72856945</v>
      </c>
      <c r="Y21" s="155">
        <f t="shared" si="20"/>
        <v>437826569.72856945</v>
      </c>
      <c r="Z21" s="155">
        <f t="shared" si="20"/>
        <v>434795138.02687246</v>
      </c>
      <c r="AA21" s="155">
        <f t="shared" si="20"/>
        <v>434795138.02687246</v>
      </c>
      <c r="AB21" s="155">
        <f t="shared" si="20"/>
        <v>434795138.02687246</v>
      </c>
      <c r="AC21" s="155">
        <f t="shared" si="20"/>
        <v>434795138.02687246</v>
      </c>
      <c r="AD21" s="155">
        <f t="shared" si="20"/>
        <v>431582136.23527938</v>
      </c>
      <c r="AE21" s="155">
        <f t="shared" si="20"/>
        <v>430613557.45593584</v>
      </c>
      <c r="AF21" s="155">
        <f t="shared" si="20"/>
        <v>430613557.45593584</v>
      </c>
      <c r="AG21" s="155">
        <f t="shared" si="20"/>
        <v>428369134.44368631</v>
      </c>
      <c r="AH21" s="155">
        <f t="shared" si="20"/>
        <v>428369134.44368631</v>
      </c>
      <c r="AI21" s="155">
        <f t="shared" si="20"/>
        <v>428369134.44368631</v>
      </c>
      <c r="AJ21" s="155">
        <f t="shared" si="20"/>
        <v>425156132.65209317</v>
      </c>
      <c r="AK21" s="155">
        <f t="shared" si="20"/>
        <v>425156132.65209317</v>
      </c>
      <c r="AL21" s="155">
        <f t="shared" si="20"/>
        <v>425156132.65209317</v>
      </c>
      <c r="AM21" s="155">
        <f t="shared" si="20"/>
        <v>421943130.8605001</v>
      </c>
      <c r="AN21" s="155">
        <f t="shared" si="20"/>
        <v>421943130.8605001</v>
      </c>
      <c r="AO21" s="155"/>
      <c r="AQ21" s="155">
        <f t="shared" si="12"/>
        <v>442978601.92544764</v>
      </c>
      <c r="AR21" s="155">
        <f t="shared" si="13"/>
        <v>-945728.28705170215</v>
      </c>
      <c r="AS21" s="155">
        <f t="shared" si="14"/>
        <v>-858213.13213049981</v>
      </c>
      <c r="AT21" s="155">
        <f t="shared" si="14"/>
        <v>-773521.04672288476</v>
      </c>
      <c r="AU21" s="155">
        <f t="shared" si="14"/>
        <v>-686005.89180168242</v>
      </c>
      <c r="AV21" s="155">
        <f t="shared" si="14"/>
        <v>-601313.80639406736</v>
      </c>
      <c r="AW21" s="155">
        <f t="shared" si="14"/>
        <v>-513798.65147286502</v>
      </c>
      <c r="AX21" s="155">
        <f t="shared" si="14"/>
        <v>-426283.49655166274</v>
      </c>
      <c r="AY21" s="155">
        <f t="shared" si="14"/>
        <v>-347237.55017122196</v>
      </c>
      <c r="AZ21" s="155">
        <f t="shared" si="14"/>
        <v>-259722.3952500197</v>
      </c>
      <c r="BA21" s="155">
        <f t="shared" si="14"/>
        <v>-175030.30984240456</v>
      </c>
      <c r="BB21" s="155">
        <f t="shared" si="14"/>
        <v>-87515.15492120228</v>
      </c>
      <c r="BC21" s="155">
        <f t="shared" si="14"/>
        <v>-2823.0695135871706</v>
      </c>
      <c r="BD21" s="155">
        <f t="shared" si="15"/>
        <v>430613557.45593584</v>
      </c>
      <c r="BE21" s="155">
        <f t="shared" si="16"/>
        <v>437301409.13362396</v>
      </c>
    </row>
    <row r="22" spans="1:57" x14ac:dyDescent="0.15">
      <c r="A22" s="39" t="s">
        <v>112</v>
      </c>
      <c r="G22" s="155">
        <f>+G169</f>
        <v>110497051.56999998</v>
      </c>
      <c r="H22" s="155">
        <f>+H169</f>
        <v>110497051.56999998</v>
      </c>
      <c r="I22" s="155">
        <f>+I169</f>
        <v>110497051.56999998</v>
      </c>
      <c r="J22" s="155">
        <f>+J169</f>
        <v>110079483.7114293</v>
      </c>
      <c r="K22" s="155">
        <f t="shared" ref="K22:AN22" si="21">+K169</f>
        <v>110079483.7114293</v>
      </c>
      <c r="L22" s="155">
        <f t="shared" si="21"/>
        <v>110079483.7114293</v>
      </c>
      <c r="M22" s="155">
        <f t="shared" si="21"/>
        <v>109544268.01304555</v>
      </c>
      <c r="N22" s="155">
        <f t="shared" si="21"/>
        <v>109544268.01304555</v>
      </c>
      <c r="O22" s="155">
        <f t="shared" si="21"/>
        <v>109544268.01304555</v>
      </c>
      <c r="P22" s="155">
        <f t="shared" si="21"/>
        <v>109544268.01304555</v>
      </c>
      <c r="Q22" s="155">
        <f t="shared" si="21"/>
        <v>108825484.54377326</v>
      </c>
      <c r="R22" s="155">
        <f t="shared" si="21"/>
        <v>108607192.87851299</v>
      </c>
      <c r="S22" s="155">
        <f t="shared" si="21"/>
        <v>108607192.87851299</v>
      </c>
      <c r="T22" s="155">
        <f t="shared" si="21"/>
        <v>108103059.29868039</v>
      </c>
      <c r="U22" s="155">
        <f t="shared" si="21"/>
        <v>108103059.29868039</v>
      </c>
      <c r="V22" s="155">
        <f t="shared" si="21"/>
        <v>108103059.29868039</v>
      </c>
      <c r="W22" s="155">
        <f t="shared" si="21"/>
        <v>107378813.03601207</v>
      </c>
      <c r="X22" s="155">
        <f t="shared" si="21"/>
        <v>107378813.03601207</v>
      </c>
      <c r="Y22" s="155">
        <f t="shared" si="21"/>
        <v>107378813.03601207</v>
      </c>
      <c r="Z22" s="155">
        <f t="shared" si="21"/>
        <v>106654566.77334374</v>
      </c>
      <c r="AA22" s="155">
        <f t="shared" si="21"/>
        <v>106654566.77334374</v>
      </c>
      <c r="AB22" s="155">
        <f t="shared" si="21"/>
        <v>106654566.77334374</v>
      </c>
      <c r="AC22" s="155">
        <f t="shared" si="21"/>
        <v>106654566.77334374</v>
      </c>
      <c r="AD22" s="155">
        <f t="shared" si="21"/>
        <v>105883446.56707966</v>
      </c>
      <c r="AE22" s="155">
        <f t="shared" si="21"/>
        <v>105648718.76003636</v>
      </c>
      <c r="AF22" s="155">
        <f t="shared" si="21"/>
        <v>105648718.76003636</v>
      </c>
      <c r="AG22" s="155">
        <f t="shared" si="21"/>
        <v>105112326.3608156</v>
      </c>
      <c r="AH22" s="155">
        <f t="shared" si="21"/>
        <v>105112326.3608156</v>
      </c>
      <c r="AI22" s="155">
        <f t="shared" si="21"/>
        <v>105112326.3608156</v>
      </c>
      <c r="AJ22" s="155">
        <f t="shared" si="21"/>
        <v>104341206.15455152</v>
      </c>
      <c r="AK22" s="155">
        <f t="shared" si="21"/>
        <v>104341206.15455152</v>
      </c>
      <c r="AL22" s="155">
        <f t="shared" si="21"/>
        <v>104341206.15455152</v>
      </c>
      <c r="AM22" s="155">
        <f t="shared" si="21"/>
        <v>103570085.94828746</v>
      </c>
      <c r="AN22" s="155">
        <f t="shared" si="21"/>
        <v>103570085.94828746</v>
      </c>
      <c r="AO22" s="155"/>
      <c r="AQ22" s="155">
        <f t="shared" si="12"/>
        <v>108607192.87851299</v>
      </c>
      <c r="AR22" s="155">
        <f t="shared" si="13"/>
        <v>-226275.98851362348</v>
      </c>
      <c r="AS22" s="155">
        <f t="shared" si="14"/>
        <v>-205337.01644221356</v>
      </c>
      <c r="AT22" s="155">
        <f t="shared" si="14"/>
        <v>-185073.49508278459</v>
      </c>
      <c r="AU22" s="155">
        <f t="shared" si="14"/>
        <v>-164134.52301137467</v>
      </c>
      <c r="AV22" s="155">
        <f t="shared" si="14"/>
        <v>-143871.0016519457</v>
      </c>
      <c r="AW22" s="155">
        <f t="shared" si="14"/>
        <v>-122932.02958053575</v>
      </c>
      <c r="AX22" s="155">
        <f t="shared" si="14"/>
        <v>-101993.05750912581</v>
      </c>
      <c r="AY22" s="155">
        <f t="shared" si="14"/>
        <v>-83080.437573658768</v>
      </c>
      <c r="AZ22" s="155">
        <f t="shared" si="14"/>
        <v>-62141.465502248844</v>
      </c>
      <c r="BA22" s="155">
        <f t="shared" si="14"/>
        <v>-41877.94414281987</v>
      </c>
      <c r="BB22" s="155">
        <f t="shared" si="14"/>
        <v>-20938.972071409935</v>
      </c>
      <c r="BC22" s="155">
        <f t="shared" si="14"/>
        <v>-675.45071198096559</v>
      </c>
      <c r="BD22" s="155">
        <f t="shared" si="15"/>
        <v>105648718.76003636</v>
      </c>
      <c r="BE22" s="155">
        <f t="shared" si="16"/>
        <v>107248861.4967193</v>
      </c>
    </row>
    <row r="23" spans="1:57" ht="9" thickBot="1" x14ac:dyDescent="0.2">
      <c r="G23" s="181">
        <f>SUM(G17:G22)</f>
        <v>-581202927.05000019</v>
      </c>
      <c r="H23" s="181">
        <f>SUM(H17:H22)</f>
        <v>-581214112.64913511</v>
      </c>
      <c r="I23" s="181">
        <f>SUM(I17:I22)</f>
        <v>-581225298.2482698</v>
      </c>
      <c r="J23" s="181">
        <f>SUM(J17:J22)</f>
        <v>-609235315.38864779</v>
      </c>
      <c r="K23" s="181">
        <f t="shared" ref="K23:AN23" si="22">SUM(K17:K22)</f>
        <v>-609246500.98778272</v>
      </c>
      <c r="L23" s="181">
        <f t="shared" si="22"/>
        <v>-609257686.58691764</v>
      </c>
      <c r="M23" s="181">
        <f t="shared" si="22"/>
        <v>-627000003.91785884</v>
      </c>
      <c r="N23" s="181">
        <f t="shared" si="22"/>
        <v>-627000003.91785884</v>
      </c>
      <c r="O23" s="181">
        <f t="shared" si="22"/>
        <v>-627011189.51699352</v>
      </c>
      <c r="P23" s="181">
        <f t="shared" si="22"/>
        <v>-627022375.11612844</v>
      </c>
      <c r="Q23" s="181">
        <f t="shared" si="22"/>
        <v>-642416943.25401771</v>
      </c>
      <c r="R23" s="181">
        <f t="shared" si="22"/>
        <v>-642707964.92449868</v>
      </c>
      <c r="S23" s="181">
        <f t="shared" si="22"/>
        <v>-642719150.52363336</v>
      </c>
      <c r="T23" s="181">
        <f t="shared" si="22"/>
        <v>-659626159.00388968</v>
      </c>
      <c r="U23" s="181">
        <f t="shared" si="22"/>
        <v>-659637344.60302436</v>
      </c>
      <c r="V23" s="181">
        <f t="shared" si="22"/>
        <v>-659648530.20215929</v>
      </c>
      <c r="W23" s="181">
        <f t="shared" si="22"/>
        <v>-675759036.20852244</v>
      </c>
      <c r="X23" s="181">
        <f t="shared" si="22"/>
        <v>-675770221.80765712</v>
      </c>
      <c r="Y23" s="181">
        <f t="shared" si="22"/>
        <v>-675781407.40679204</v>
      </c>
      <c r="Z23" s="181">
        <f t="shared" si="22"/>
        <v>-692482380.48193026</v>
      </c>
      <c r="AA23" s="181">
        <f t="shared" si="22"/>
        <v>-692482380.48193026</v>
      </c>
      <c r="AB23" s="181">
        <f t="shared" si="22"/>
        <v>-692493566.08106518</v>
      </c>
      <c r="AC23" s="181">
        <f t="shared" si="22"/>
        <v>-692504751.6802001</v>
      </c>
      <c r="AD23" s="181">
        <f t="shared" si="22"/>
        <v>-697998058.10740769</v>
      </c>
      <c r="AE23" s="181">
        <f t="shared" si="22"/>
        <v>-698621038.82694697</v>
      </c>
      <c r="AF23" s="181">
        <f t="shared" si="22"/>
        <v>-698320654.29898071</v>
      </c>
      <c r="AG23" s="181">
        <f t="shared" si="22"/>
        <v>-705771281.79314935</v>
      </c>
      <c r="AH23" s="181">
        <f t="shared" si="22"/>
        <v>-705782467.39228427</v>
      </c>
      <c r="AI23" s="181">
        <f t="shared" si="22"/>
        <v>-705793652.9914192</v>
      </c>
      <c r="AJ23" s="181">
        <f t="shared" si="22"/>
        <v>-712107404.60583711</v>
      </c>
      <c r="AK23" s="181">
        <f t="shared" si="22"/>
        <v>-712118590.20497179</v>
      </c>
      <c r="AL23" s="181">
        <f t="shared" si="22"/>
        <v>-712129775.80410671</v>
      </c>
      <c r="AM23" s="181">
        <f t="shared" si="22"/>
        <v>-719587316.2766571</v>
      </c>
      <c r="AN23" s="181">
        <f t="shared" si="22"/>
        <v>-719587316.2766571</v>
      </c>
      <c r="AO23" s="181"/>
      <c r="AP23" s="155"/>
      <c r="AQ23" s="181">
        <f t="shared" ref="AQ23:BE23" si="23">SUM(AQ17:AQ22)</f>
        <v>-642707964.92449868</v>
      </c>
      <c r="AR23" s="181">
        <f t="shared" si="23"/>
        <v>-4276456.5655982047</v>
      </c>
      <c r="AS23" s="181">
        <f t="shared" si="23"/>
        <v>-3880724.7640055357</v>
      </c>
      <c r="AT23" s="181">
        <f t="shared" si="23"/>
        <v>-3497758.5043997262</v>
      </c>
      <c r="AU23" s="181">
        <f t="shared" si="23"/>
        <v>-3102026.7028070563</v>
      </c>
      <c r="AV23" s="181">
        <f t="shared" si="23"/>
        <v>-2719060.4432012467</v>
      </c>
      <c r="AW23" s="181">
        <f t="shared" si="23"/>
        <v>-2323328.6416085772</v>
      </c>
      <c r="AX23" s="181">
        <f t="shared" si="23"/>
        <v>-1927596.8400159075</v>
      </c>
      <c r="AY23" s="181">
        <f t="shared" si="23"/>
        <v>-1570161.6643838189</v>
      </c>
      <c r="AZ23" s="181">
        <f t="shared" si="23"/>
        <v>-1174429.8627911489</v>
      </c>
      <c r="BA23" s="181">
        <f t="shared" si="23"/>
        <v>-791463.60318533948</v>
      </c>
      <c r="BB23" s="181">
        <f t="shared" si="23"/>
        <v>-395731.80159266974</v>
      </c>
      <c r="BC23" s="181">
        <f t="shared" si="23"/>
        <v>-12765.541986860313</v>
      </c>
      <c r="BD23" s="181">
        <f t="shared" si="23"/>
        <v>-698621038.82694697</v>
      </c>
      <c r="BE23" s="181">
        <f t="shared" si="23"/>
        <v>-668379469.86007476</v>
      </c>
    </row>
    <row r="24" spans="1:57" x14ac:dyDescent="0.15">
      <c r="A24" s="180" t="s">
        <v>36</v>
      </c>
      <c r="G24" s="178">
        <f>+G5*1000+G23</f>
        <v>-1.320000171661377</v>
      </c>
      <c r="H24" s="178">
        <f t="shared" ref="H24:AN24" si="24">+H5*1000+H23</f>
        <v>-1.3199920654296875</v>
      </c>
      <c r="I24" s="178">
        <f t="shared" si="24"/>
        <v>-1.3199838399887085</v>
      </c>
      <c r="J24" s="178">
        <f t="shared" si="24"/>
        <v>-9.3876838684082031E-2</v>
      </c>
      <c r="K24" s="178">
        <f>+K5*1000+K23</f>
        <v>-9.3868732452392578E-2</v>
      </c>
      <c r="L24" s="178">
        <f t="shared" si="24"/>
        <v>-9.3860745429992676E-2</v>
      </c>
      <c r="M24" s="178">
        <f t="shared" si="24"/>
        <v>-9.3857884407043457E-2</v>
      </c>
      <c r="N24" s="178">
        <f t="shared" ref="N24:Z24" si="25">+N5*1000+N23</f>
        <v>-9.3857884407043457E-2</v>
      </c>
      <c r="O24" s="178">
        <f t="shared" si="25"/>
        <v>-9.3848466873168945E-2</v>
      </c>
      <c r="P24" s="178">
        <f t="shared" si="25"/>
        <v>-9.3840479850769043E-2</v>
      </c>
      <c r="Q24" s="178">
        <f t="shared" si="25"/>
        <v>-9.3848824501037598E-2</v>
      </c>
      <c r="R24" s="178">
        <f t="shared" si="25"/>
        <v>-9.3840599060058594E-2</v>
      </c>
      <c r="S24" s="178">
        <f t="shared" si="25"/>
        <v>-9.383237361907959E-2</v>
      </c>
      <c r="T24" s="178">
        <f t="shared" si="25"/>
        <v>-9.3833684921264648E-2</v>
      </c>
      <c r="U24" s="178">
        <f t="shared" si="25"/>
        <v>-9.3825340270996094E-2</v>
      </c>
      <c r="V24" s="178">
        <f t="shared" si="25"/>
        <v>-9.3817353248596191E-2</v>
      </c>
      <c r="W24" s="178">
        <f t="shared" si="25"/>
        <v>-9.3817353248596191E-2</v>
      </c>
      <c r="X24" s="178">
        <f t="shared" si="25"/>
        <v>-9.3809127807617188E-2</v>
      </c>
      <c r="Y24" s="178">
        <f t="shared" si="25"/>
        <v>-9.3801021575927734E-2</v>
      </c>
      <c r="Z24" s="178">
        <f t="shared" si="25"/>
        <v>-9.3796253204345703E-2</v>
      </c>
      <c r="AA24" s="178">
        <f t="shared" si="24"/>
        <v>-9.3796253204345703E-2</v>
      </c>
      <c r="AB24" s="178">
        <f t="shared" si="24"/>
        <v>-9.3788266181945801E-2</v>
      </c>
      <c r="AC24" s="178">
        <f t="shared" si="24"/>
        <v>-9.3780159950256348E-2</v>
      </c>
      <c r="AD24" s="178">
        <f t="shared" si="24"/>
        <v>-9.376072883605957E-2</v>
      </c>
      <c r="AE24" s="178">
        <f t="shared" si="24"/>
        <v>-9.375298023223877E-2</v>
      </c>
      <c r="AF24" s="178">
        <f t="shared" si="24"/>
        <v>-9.3744754791259766E-2</v>
      </c>
      <c r="AG24" s="178">
        <f t="shared" si="24"/>
        <v>-9.3733310699462891E-2</v>
      </c>
      <c r="AH24" s="178">
        <f t="shared" si="24"/>
        <v>-9.3725204467773438E-2</v>
      </c>
      <c r="AI24" s="178">
        <f t="shared" si="24"/>
        <v>-9.3717217445373535E-2</v>
      </c>
      <c r="AJ24" s="178">
        <f t="shared" si="24"/>
        <v>-9.3715071678161621E-2</v>
      </c>
      <c r="AK24" s="178">
        <f t="shared" si="24"/>
        <v>-9.3706846237182617E-2</v>
      </c>
      <c r="AL24" s="178">
        <f t="shared" si="24"/>
        <v>-9.3698740005493164E-2</v>
      </c>
      <c r="AM24" s="178">
        <f t="shared" si="24"/>
        <v>-9.3697071075439453E-2</v>
      </c>
      <c r="AN24" s="178">
        <f t="shared" si="24"/>
        <v>-9.3697071075439453E-2</v>
      </c>
      <c r="AO24" s="178"/>
      <c r="AP24" s="155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</row>
    <row r="25" spans="1:57" x14ac:dyDescent="0.15">
      <c r="G25" s="155"/>
      <c r="H25" s="155"/>
    </row>
    <row r="26" spans="1:57" ht="9" thickBot="1" x14ac:dyDescent="0.2">
      <c r="A26" s="182" t="s">
        <v>86</v>
      </c>
      <c r="G26" s="155"/>
      <c r="H26" s="155"/>
    </row>
    <row r="27" spans="1:57" x14ac:dyDescent="0.15">
      <c r="A27" s="39" t="s">
        <v>37</v>
      </c>
      <c r="G27" s="155">
        <v>-1223607.03</v>
      </c>
      <c r="H27" s="155">
        <f t="shared" ref="H27:M32" si="26">+G27+SUMIF($B$282:$B$328,$A27,H$282:H$328)</f>
        <v>-1223607.03</v>
      </c>
      <c r="I27" s="155">
        <f t="shared" si="26"/>
        <v>-1223607.03</v>
      </c>
      <c r="J27" s="155">
        <f t="shared" si="26"/>
        <v>-1076774.20416</v>
      </c>
      <c r="K27" s="155">
        <f t="shared" si="26"/>
        <v>-1076774.20416</v>
      </c>
      <c r="L27" s="155">
        <f t="shared" si="26"/>
        <v>-1076774.20416</v>
      </c>
      <c r="M27" s="155">
        <f t="shared" si="26"/>
        <v>-929941.37832000002</v>
      </c>
      <c r="N27" s="183">
        <f t="shared" ref="N27:N58" si="27">+M27</f>
        <v>-929941.37832000002</v>
      </c>
      <c r="O27" s="155">
        <f t="shared" ref="O27:O58" si="28">+N27+SUMIF($B$282:$B$328,$A27,O$282:O$328)</f>
        <v>-929941.37832000002</v>
      </c>
      <c r="P27" s="155">
        <f t="shared" ref="P27:Z27" si="29">+O27+SUMIF($B$282:$B$328,$A27,P$282:P$328)</f>
        <v>-929941.37832000002</v>
      </c>
      <c r="Q27" s="155">
        <f t="shared" si="29"/>
        <v>-824522.93944730796</v>
      </c>
      <c r="R27" s="155">
        <f t="shared" si="29"/>
        <v>-824522.93944730796</v>
      </c>
      <c r="S27" s="155">
        <f t="shared" si="29"/>
        <v>-824522.93944730796</v>
      </c>
      <c r="T27" s="155">
        <f t="shared" si="29"/>
        <v>-719104.5005746159</v>
      </c>
      <c r="U27" s="155">
        <f t="shared" si="29"/>
        <v>-719104.5005746159</v>
      </c>
      <c r="V27" s="155">
        <f t="shared" si="29"/>
        <v>-719104.5005746159</v>
      </c>
      <c r="W27" s="155">
        <f t="shared" si="29"/>
        <v>-613686.06170192384</v>
      </c>
      <c r="X27" s="155">
        <f t="shared" si="29"/>
        <v>-613686.06170192384</v>
      </c>
      <c r="Y27" s="155">
        <f t="shared" si="29"/>
        <v>-613686.06170192384</v>
      </c>
      <c r="Z27" s="155">
        <f t="shared" si="29"/>
        <v>-508267.62282923178</v>
      </c>
      <c r="AA27" s="183">
        <f>+Z27</f>
        <v>-508267.62282923178</v>
      </c>
      <c r="AB27" s="155">
        <f t="shared" ref="AB27:AM27" si="30">+AA27+SUMIF($B$282:$B$328,$A27,AB$282:AB$328)</f>
        <v>-508267.62282923178</v>
      </c>
      <c r="AC27" s="155">
        <f t="shared" si="30"/>
        <v>-508267.62282923178</v>
      </c>
      <c r="AD27" s="155">
        <f t="shared" si="30"/>
        <v>-423556.37744019373</v>
      </c>
      <c r="AE27" s="155">
        <f t="shared" si="30"/>
        <v>-423556.37744019373</v>
      </c>
      <c r="AF27" s="155">
        <f t="shared" si="30"/>
        <v>-423556.37744019373</v>
      </c>
      <c r="AG27" s="155">
        <f t="shared" si="30"/>
        <v>-338845.13205115567</v>
      </c>
      <c r="AH27" s="155">
        <f t="shared" si="30"/>
        <v>-338845.13205115567</v>
      </c>
      <c r="AI27" s="155">
        <f t="shared" si="30"/>
        <v>-338845.13205115567</v>
      </c>
      <c r="AJ27" s="155">
        <f t="shared" si="30"/>
        <v>-254133.88666211761</v>
      </c>
      <c r="AK27" s="155">
        <f t="shared" si="30"/>
        <v>-254133.88666211761</v>
      </c>
      <c r="AL27" s="155">
        <f t="shared" si="30"/>
        <v>-254133.88666211761</v>
      </c>
      <c r="AM27" s="155">
        <f t="shared" si="30"/>
        <v>-169422.64127307956</v>
      </c>
      <c r="AN27" s="183">
        <f>+AM27</f>
        <v>-169422.64127307956</v>
      </c>
      <c r="AO27" s="155"/>
      <c r="AQ27" s="155">
        <f t="shared" ref="AQ27:AQ58" si="31">+R27</f>
        <v>-824522.93944730796</v>
      </c>
      <c r="AR27" s="155">
        <f t="shared" ref="AR27:BC48" si="32">($BD27-$AQ27)/12*AR$6</f>
        <v>30667.5338521423</v>
      </c>
      <c r="AS27" s="155">
        <f t="shared" si="32"/>
        <v>27829.642659854508</v>
      </c>
      <c r="AT27" s="155">
        <f t="shared" si="32"/>
        <v>25083.296344737286</v>
      </c>
      <c r="AU27" s="155">
        <f t="shared" si="32"/>
        <v>22245.40515244949</v>
      </c>
      <c r="AV27" s="155">
        <f t="shared" si="32"/>
        <v>19499.058837332272</v>
      </c>
      <c r="AW27" s="155">
        <f t="shared" si="32"/>
        <v>16661.167645044476</v>
      </c>
      <c r="AX27" s="155">
        <f t="shared" si="32"/>
        <v>13823.27645275668</v>
      </c>
      <c r="AY27" s="155">
        <f t="shared" si="32"/>
        <v>11260.019891980606</v>
      </c>
      <c r="AZ27" s="155">
        <f t="shared" si="32"/>
        <v>8422.128699692812</v>
      </c>
      <c r="BA27" s="155">
        <f t="shared" si="32"/>
        <v>5675.7823845755902</v>
      </c>
      <c r="BB27" s="155">
        <f t="shared" si="32"/>
        <v>2837.8911922877951</v>
      </c>
      <c r="BC27" s="155">
        <f t="shared" si="32"/>
        <v>91.54487717057404</v>
      </c>
      <c r="BD27" s="155">
        <f t="shared" ref="BD27:BD58" si="33">+AE27</f>
        <v>-423556.37744019373</v>
      </c>
      <c r="BE27" s="155">
        <f t="shared" ref="BE27:BE90" si="34">SUM(AQ27:BC27)</f>
        <v>-640426.19145728357</v>
      </c>
    </row>
    <row r="28" spans="1:57" x14ac:dyDescent="0.15">
      <c r="A28" s="39" t="s">
        <v>38</v>
      </c>
      <c r="G28" s="155">
        <v>-2267874.7599999998</v>
      </c>
      <c r="H28" s="155">
        <f t="shared" si="26"/>
        <v>-2267874.7599999998</v>
      </c>
      <c r="I28" s="155">
        <f t="shared" si="26"/>
        <v>-2267874.7599999998</v>
      </c>
      <c r="J28" s="155">
        <f t="shared" si="26"/>
        <v>-1995729.8035099634</v>
      </c>
      <c r="K28" s="155">
        <f t="shared" si="26"/>
        <v>-1995729.8035099634</v>
      </c>
      <c r="L28" s="155">
        <f t="shared" si="26"/>
        <v>-1995729.8035099634</v>
      </c>
      <c r="M28" s="155">
        <f t="shared" si="26"/>
        <v>-1723584.8470199271</v>
      </c>
      <c r="N28" s="184">
        <f t="shared" si="27"/>
        <v>-1723584.8470199271</v>
      </c>
      <c r="O28" s="155">
        <f t="shared" si="28"/>
        <v>-1723584.8470199271</v>
      </c>
      <c r="P28" s="155">
        <f t="shared" ref="P28:Z28" si="35">+O28+SUMIF($B$282:$B$328,$A28,P$282:P$328)</f>
        <v>-1723584.8470199271</v>
      </c>
      <c r="Q28" s="155">
        <f t="shared" si="35"/>
        <v>-1528198.7117736025</v>
      </c>
      <c r="R28" s="155">
        <f t="shared" si="35"/>
        <v>-1528198.7117736025</v>
      </c>
      <c r="S28" s="155">
        <f t="shared" si="35"/>
        <v>-1528198.7117736025</v>
      </c>
      <c r="T28" s="155">
        <f t="shared" si="35"/>
        <v>-1332812.5765272779</v>
      </c>
      <c r="U28" s="155">
        <f t="shared" si="35"/>
        <v>-1332812.5765272779</v>
      </c>
      <c r="V28" s="155">
        <f t="shared" si="35"/>
        <v>-1332812.5765272779</v>
      </c>
      <c r="W28" s="155">
        <f t="shared" si="35"/>
        <v>-1137426.4412809534</v>
      </c>
      <c r="X28" s="155">
        <f t="shared" si="35"/>
        <v>-1137426.4412809534</v>
      </c>
      <c r="Y28" s="155">
        <f t="shared" si="35"/>
        <v>-1137426.4412809534</v>
      </c>
      <c r="Z28" s="155">
        <f t="shared" si="35"/>
        <v>-942040.30603462877</v>
      </c>
      <c r="AA28" s="184">
        <f t="shared" ref="AA28:AA99" si="36">+Z28</f>
        <v>-942040.30603462877</v>
      </c>
      <c r="AB28" s="155">
        <f t="shared" ref="AB28:AM28" si="37">+AA28+SUMIF($B$282:$B$328,$A28,AB$282:AB$328)</f>
        <v>-942040.30603462877</v>
      </c>
      <c r="AC28" s="155">
        <f t="shared" si="37"/>
        <v>-942040.30603462877</v>
      </c>
      <c r="AD28" s="155">
        <f t="shared" si="37"/>
        <v>-785033.58116131148</v>
      </c>
      <c r="AE28" s="155">
        <f t="shared" si="37"/>
        <v>-785033.58116131148</v>
      </c>
      <c r="AF28" s="155">
        <f t="shared" si="37"/>
        <v>-785033.58116131148</v>
      </c>
      <c r="AG28" s="155">
        <f t="shared" si="37"/>
        <v>-628026.85628799419</v>
      </c>
      <c r="AH28" s="155">
        <f t="shared" si="37"/>
        <v>-628026.85628799419</v>
      </c>
      <c r="AI28" s="155">
        <f t="shared" si="37"/>
        <v>-628026.85628799419</v>
      </c>
      <c r="AJ28" s="155">
        <f t="shared" si="37"/>
        <v>-471020.1314146769</v>
      </c>
      <c r="AK28" s="155">
        <f t="shared" si="37"/>
        <v>-471020.1314146769</v>
      </c>
      <c r="AL28" s="155">
        <f t="shared" si="37"/>
        <v>-471020.1314146769</v>
      </c>
      <c r="AM28" s="155">
        <f t="shared" si="37"/>
        <v>-314013.40654135961</v>
      </c>
      <c r="AN28" s="184">
        <f t="shared" ref="AN28:AN99" si="38">+AM28</f>
        <v>-314013.40654135961</v>
      </c>
      <c r="AO28" s="155"/>
      <c r="AQ28" s="155">
        <f t="shared" si="31"/>
        <v>-1528198.7117736025</v>
      </c>
      <c r="AR28" s="155">
        <f t="shared" si="32"/>
        <v>56840.255423542803</v>
      </c>
      <c r="AS28" s="155">
        <f t="shared" si="32"/>
        <v>51580.410891811982</v>
      </c>
      <c r="AT28" s="155">
        <f t="shared" si="32"/>
        <v>46490.238764330534</v>
      </c>
      <c r="AU28" s="155">
        <f t="shared" si="32"/>
        <v>41230.394232599712</v>
      </c>
      <c r="AV28" s="155">
        <f t="shared" si="32"/>
        <v>36140.222105118264</v>
      </c>
      <c r="AW28" s="155">
        <f t="shared" si="32"/>
        <v>30880.377573387435</v>
      </c>
      <c r="AX28" s="155">
        <f t="shared" si="32"/>
        <v>25620.53304165661</v>
      </c>
      <c r="AY28" s="155">
        <f t="shared" si="32"/>
        <v>20869.705722673927</v>
      </c>
      <c r="AZ28" s="155">
        <f t="shared" si="32"/>
        <v>15609.8611909431</v>
      </c>
      <c r="BA28" s="155">
        <f t="shared" si="32"/>
        <v>10519.689063461654</v>
      </c>
      <c r="BB28" s="155">
        <f t="shared" si="32"/>
        <v>5259.8445317308269</v>
      </c>
      <c r="BC28" s="155">
        <f t="shared" si="32"/>
        <v>169.67240424938151</v>
      </c>
      <c r="BD28" s="155">
        <f t="shared" si="33"/>
        <v>-785033.58116131148</v>
      </c>
      <c r="BE28" s="155">
        <f t="shared" si="34"/>
        <v>-1186987.506828096</v>
      </c>
    </row>
    <row r="29" spans="1:57" x14ac:dyDescent="0.15">
      <c r="A29" s="39" t="s">
        <v>39</v>
      </c>
      <c r="G29" s="155">
        <v>-0.04</v>
      </c>
      <c r="H29" s="155">
        <f t="shared" si="26"/>
        <v>-0.04</v>
      </c>
      <c r="I29" s="155">
        <f t="shared" si="26"/>
        <v>-0.04</v>
      </c>
      <c r="J29" s="155">
        <f t="shared" si="26"/>
        <v>50225.080954999998</v>
      </c>
      <c r="K29" s="155">
        <f t="shared" si="26"/>
        <v>50225.080954999998</v>
      </c>
      <c r="L29" s="155">
        <f t="shared" si="26"/>
        <v>50225.080954999998</v>
      </c>
      <c r="M29" s="155">
        <f t="shared" si="26"/>
        <v>100450.20191</v>
      </c>
      <c r="N29" s="184">
        <f t="shared" si="27"/>
        <v>100450.20191</v>
      </c>
      <c r="O29" s="155">
        <f t="shared" si="28"/>
        <v>100450.20191</v>
      </c>
      <c r="P29" s="155">
        <f t="shared" ref="P29:Z29" si="39">+O29+SUMIF($B$282:$B$328,$A29,P$282:P$328)</f>
        <v>100450.20191</v>
      </c>
      <c r="Q29" s="155">
        <f t="shared" si="39"/>
        <v>104313.67198500001</v>
      </c>
      <c r="R29" s="155">
        <f t="shared" si="39"/>
        <v>104313.67198500001</v>
      </c>
      <c r="S29" s="155">
        <f t="shared" si="39"/>
        <v>104313.67198500001</v>
      </c>
      <c r="T29" s="155">
        <f t="shared" si="39"/>
        <v>108177.14206000001</v>
      </c>
      <c r="U29" s="155">
        <f t="shared" si="39"/>
        <v>108177.14206000001</v>
      </c>
      <c r="V29" s="155">
        <f t="shared" si="39"/>
        <v>108177.14206000001</v>
      </c>
      <c r="W29" s="155">
        <f t="shared" si="39"/>
        <v>112040.61213500002</v>
      </c>
      <c r="X29" s="155">
        <f t="shared" si="39"/>
        <v>112040.61213500002</v>
      </c>
      <c r="Y29" s="155">
        <f t="shared" si="39"/>
        <v>112040.61213500002</v>
      </c>
      <c r="Z29" s="155">
        <f t="shared" si="39"/>
        <v>115904.08221000002</v>
      </c>
      <c r="AA29" s="184">
        <f t="shared" si="36"/>
        <v>115904.08221000002</v>
      </c>
      <c r="AB29" s="155">
        <f t="shared" ref="AB29:AM29" si="40">+AA29+SUMIF($B$282:$B$328,$A29,AB$282:AB$328)</f>
        <v>115904.08221000002</v>
      </c>
      <c r="AC29" s="155">
        <f t="shared" si="40"/>
        <v>115904.08221000002</v>
      </c>
      <c r="AD29" s="155">
        <f t="shared" si="40"/>
        <v>96586.726845000027</v>
      </c>
      <c r="AE29" s="155">
        <f t="shared" si="40"/>
        <v>96586.726845000027</v>
      </c>
      <c r="AF29" s="155">
        <f t="shared" si="40"/>
        <v>96586.726845000027</v>
      </c>
      <c r="AG29" s="155">
        <f t="shared" si="40"/>
        <v>77269.371480000031</v>
      </c>
      <c r="AH29" s="155">
        <f t="shared" si="40"/>
        <v>77269.371480000031</v>
      </c>
      <c r="AI29" s="155">
        <f t="shared" si="40"/>
        <v>77269.371480000031</v>
      </c>
      <c r="AJ29" s="155">
        <f t="shared" si="40"/>
        <v>57952.016115000035</v>
      </c>
      <c r="AK29" s="155">
        <f t="shared" si="40"/>
        <v>57952.016115000035</v>
      </c>
      <c r="AL29" s="155">
        <f t="shared" si="40"/>
        <v>57952.016115000035</v>
      </c>
      <c r="AM29" s="155">
        <f t="shared" si="40"/>
        <v>38634.660750000039</v>
      </c>
      <c r="AN29" s="184">
        <f t="shared" si="38"/>
        <v>38634.660750000039</v>
      </c>
      <c r="AO29" s="155"/>
      <c r="AQ29" s="155">
        <f t="shared" si="31"/>
        <v>104313.67198500001</v>
      </c>
      <c r="AR29" s="155">
        <f t="shared" si="32"/>
        <v>-590.9878132191767</v>
      </c>
      <c r="AS29" s="155">
        <f t="shared" si="32"/>
        <v>-536.29938871232753</v>
      </c>
      <c r="AT29" s="155">
        <f t="shared" si="32"/>
        <v>-483.37510693150568</v>
      </c>
      <c r="AU29" s="155">
        <f t="shared" si="32"/>
        <v>-428.68668242465651</v>
      </c>
      <c r="AV29" s="155">
        <f t="shared" si="32"/>
        <v>-375.76240064383472</v>
      </c>
      <c r="AW29" s="155">
        <f t="shared" si="32"/>
        <v>-321.07397613698555</v>
      </c>
      <c r="AX29" s="155">
        <f t="shared" si="32"/>
        <v>-266.38555163013638</v>
      </c>
      <c r="AY29" s="155">
        <f t="shared" si="32"/>
        <v>-216.98955530136934</v>
      </c>
      <c r="AZ29" s="155">
        <f t="shared" si="32"/>
        <v>-162.30113079452016</v>
      </c>
      <c r="BA29" s="155">
        <f t="shared" si="32"/>
        <v>-109.37684901369836</v>
      </c>
      <c r="BB29" s="155">
        <f t="shared" si="32"/>
        <v>-54.688424506849181</v>
      </c>
      <c r="BC29" s="155">
        <f t="shared" si="32"/>
        <v>-1.764142726027393</v>
      </c>
      <c r="BD29" s="155">
        <f t="shared" si="33"/>
        <v>96586.726845000027</v>
      </c>
      <c r="BE29" s="155">
        <f t="shared" si="34"/>
        <v>100765.9809629589</v>
      </c>
    </row>
    <row r="30" spans="1:57" x14ac:dyDescent="0.15">
      <c r="A30" s="39" t="s">
        <v>40</v>
      </c>
      <c r="G30" s="155">
        <v>24395.360000000001</v>
      </c>
      <c r="H30" s="155">
        <f t="shared" si="26"/>
        <v>24395.360000000001</v>
      </c>
      <c r="I30" s="155">
        <f t="shared" si="26"/>
        <v>24395.360000000001</v>
      </c>
      <c r="J30" s="155">
        <f t="shared" si="26"/>
        <v>24395.360000000001</v>
      </c>
      <c r="K30" s="155">
        <f t="shared" si="26"/>
        <v>24395.360000000001</v>
      </c>
      <c r="L30" s="155">
        <f t="shared" si="26"/>
        <v>24395.360000000001</v>
      </c>
      <c r="M30" s="155">
        <f t="shared" si="26"/>
        <v>24395.360000000001</v>
      </c>
      <c r="N30" s="184">
        <f t="shared" si="27"/>
        <v>24395.360000000001</v>
      </c>
      <c r="O30" s="155">
        <f t="shared" si="28"/>
        <v>24395.360000000001</v>
      </c>
      <c r="P30" s="155">
        <f t="shared" ref="P30:Z30" si="41">+O30+SUMIF($B$282:$B$328,$A30,P$282:P$328)</f>
        <v>24395.360000000001</v>
      </c>
      <c r="Q30" s="155">
        <f t="shared" si="41"/>
        <v>24395.360000000001</v>
      </c>
      <c r="R30" s="155">
        <f t="shared" si="41"/>
        <v>24395.360000000001</v>
      </c>
      <c r="S30" s="155">
        <f t="shared" si="41"/>
        <v>24395.360000000001</v>
      </c>
      <c r="T30" s="155">
        <f t="shared" si="41"/>
        <v>24395.360000000001</v>
      </c>
      <c r="U30" s="155">
        <f t="shared" si="41"/>
        <v>24395.360000000001</v>
      </c>
      <c r="V30" s="155">
        <f t="shared" si="41"/>
        <v>24395.360000000001</v>
      </c>
      <c r="W30" s="155">
        <f t="shared" si="41"/>
        <v>24395.360000000001</v>
      </c>
      <c r="X30" s="155">
        <f t="shared" si="41"/>
        <v>24395.360000000001</v>
      </c>
      <c r="Y30" s="155">
        <f t="shared" si="41"/>
        <v>24395.360000000001</v>
      </c>
      <c r="Z30" s="155">
        <f t="shared" si="41"/>
        <v>24395.360000000001</v>
      </c>
      <c r="AA30" s="184">
        <f t="shared" si="36"/>
        <v>24395.360000000001</v>
      </c>
      <c r="AB30" s="155">
        <f t="shared" ref="AB30:AM30" si="42">+AA30+SUMIF($B$282:$B$328,$A30,AB$282:AB$328)</f>
        <v>24395.360000000001</v>
      </c>
      <c r="AC30" s="155">
        <f t="shared" si="42"/>
        <v>24395.360000000001</v>
      </c>
      <c r="AD30" s="155">
        <f t="shared" si="42"/>
        <v>24395.360000000001</v>
      </c>
      <c r="AE30" s="155">
        <f t="shared" si="42"/>
        <v>24395.360000000001</v>
      </c>
      <c r="AF30" s="155">
        <f t="shared" si="42"/>
        <v>24395.360000000001</v>
      </c>
      <c r="AG30" s="155">
        <f t="shared" si="42"/>
        <v>24395.360000000001</v>
      </c>
      <c r="AH30" s="155">
        <f t="shared" si="42"/>
        <v>24395.360000000001</v>
      </c>
      <c r="AI30" s="155">
        <f t="shared" si="42"/>
        <v>24395.360000000001</v>
      </c>
      <c r="AJ30" s="155">
        <f t="shared" si="42"/>
        <v>24395.360000000001</v>
      </c>
      <c r="AK30" s="155">
        <f t="shared" si="42"/>
        <v>24395.360000000001</v>
      </c>
      <c r="AL30" s="155">
        <f t="shared" si="42"/>
        <v>24395.360000000001</v>
      </c>
      <c r="AM30" s="155">
        <f t="shared" si="42"/>
        <v>24395.360000000001</v>
      </c>
      <c r="AN30" s="184">
        <f t="shared" si="38"/>
        <v>24395.360000000001</v>
      </c>
      <c r="AO30" s="155"/>
      <c r="AQ30" s="155">
        <f t="shared" si="31"/>
        <v>24395.360000000001</v>
      </c>
      <c r="AR30" s="155">
        <f t="shared" si="32"/>
        <v>0</v>
      </c>
      <c r="AS30" s="155">
        <f t="shared" si="32"/>
        <v>0</v>
      </c>
      <c r="AT30" s="155">
        <f t="shared" si="32"/>
        <v>0</v>
      </c>
      <c r="AU30" s="155">
        <f t="shared" si="32"/>
        <v>0</v>
      </c>
      <c r="AV30" s="155">
        <f t="shared" si="32"/>
        <v>0</v>
      </c>
      <c r="AW30" s="155">
        <f t="shared" si="32"/>
        <v>0</v>
      </c>
      <c r="AX30" s="155">
        <f t="shared" si="32"/>
        <v>0</v>
      </c>
      <c r="AY30" s="155">
        <f t="shared" si="32"/>
        <v>0</v>
      </c>
      <c r="AZ30" s="155">
        <f t="shared" si="32"/>
        <v>0</v>
      </c>
      <c r="BA30" s="155">
        <f t="shared" si="32"/>
        <v>0</v>
      </c>
      <c r="BB30" s="155">
        <f t="shared" si="32"/>
        <v>0</v>
      </c>
      <c r="BC30" s="155">
        <f t="shared" si="32"/>
        <v>0</v>
      </c>
      <c r="BD30" s="155">
        <f t="shared" si="33"/>
        <v>24395.360000000001</v>
      </c>
      <c r="BE30" s="155">
        <f t="shared" si="34"/>
        <v>24395.360000000001</v>
      </c>
    </row>
    <row r="31" spans="1:57" x14ac:dyDescent="0.15">
      <c r="A31" s="39" t="s">
        <v>41</v>
      </c>
      <c r="G31" s="155">
        <v>-3497801.44</v>
      </c>
      <c r="H31" s="155">
        <f t="shared" si="26"/>
        <v>-3497801.44</v>
      </c>
      <c r="I31" s="155">
        <f t="shared" si="26"/>
        <v>-3497801.44</v>
      </c>
      <c r="J31" s="155">
        <f t="shared" si="26"/>
        <v>-3445581.7947411928</v>
      </c>
      <c r="K31" s="155">
        <f t="shared" si="26"/>
        <v>-3445581.7947411928</v>
      </c>
      <c r="L31" s="155">
        <f t="shared" si="26"/>
        <v>-3445581.7947411928</v>
      </c>
      <c r="M31" s="155">
        <f t="shared" si="26"/>
        <v>-3393362.1494823857</v>
      </c>
      <c r="N31" s="184">
        <f t="shared" si="27"/>
        <v>-3393362.1494823857</v>
      </c>
      <c r="O31" s="155">
        <f t="shared" si="28"/>
        <v>-3393362.1494823857</v>
      </c>
      <c r="P31" s="155">
        <f t="shared" ref="P31:Z31" si="43">+O31+SUMIF($B$282:$B$328,$A31,P$282:P$328)</f>
        <v>-3393362.1494823857</v>
      </c>
      <c r="Q31" s="155">
        <f t="shared" si="43"/>
        <v>-3340808.1673508515</v>
      </c>
      <c r="R31" s="155">
        <f t="shared" si="43"/>
        <v>-3340808.1673508515</v>
      </c>
      <c r="S31" s="155">
        <f t="shared" si="43"/>
        <v>-3340808.1673508515</v>
      </c>
      <c r="T31" s="155">
        <f t="shared" si="43"/>
        <v>-3288254.1852193172</v>
      </c>
      <c r="U31" s="155">
        <f t="shared" si="43"/>
        <v>-3288254.1852193172</v>
      </c>
      <c r="V31" s="155">
        <f t="shared" si="43"/>
        <v>-3288254.1852193172</v>
      </c>
      <c r="W31" s="155">
        <f t="shared" si="43"/>
        <v>-3235700.203087783</v>
      </c>
      <c r="X31" s="155">
        <f t="shared" si="43"/>
        <v>-3235700.203087783</v>
      </c>
      <c r="Y31" s="155">
        <f t="shared" si="43"/>
        <v>-3235700.203087783</v>
      </c>
      <c r="Z31" s="155">
        <f t="shared" si="43"/>
        <v>-3183146.2209562487</v>
      </c>
      <c r="AA31" s="184">
        <f t="shared" si="36"/>
        <v>-3183146.2209562487</v>
      </c>
      <c r="AB31" s="155">
        <f t="shared" ref="AB31:AM31" si="44">+AA31+SUMIF($B$282:$B$328,$A31,AB$282:AB$328)</f>
        <v>-3183146.2209562487</v>
      </c>
      <c r="AC31" s="155">
        <f t="shared" si="44"/>
        <v>-3183146.2209562487</v>
      </c>
      <c r="AD31" s="155">
        <f t="shared" si="44"/>
        <v>-3143303.2005219623</v>
      </c>
      <c r="AE31" s="155">
        <f t="shared" si="44"/>
        <v>-3143303.2005219623</v>
      </c>
      <c r="AF31" s="155">
        <f t="shared" si="44"/>
        <v>-3143303.2005219623</v>
      </c>
      <c r="AG31" s="155">
        <f t="shared" si="44"/>
        <v>-3103460.1800876758</v>
      </c>
      <c r="AH31" s="155">
        <f t="shared" si="44"/>
        <v>-3103460.1800876758</v>
      </c>
      <c r="AI31" s="155">
        <f t="shared" si="44"/>
        <v>-3103460.1800876758</v>
      </c>
      <c r="AJ31" s="155">
        <f t="shared" si="44"/>
        <v>-3063617.1596533894</v>
      </c>
      <c r="AK31" s="155">
        <f t="shared" si="44"/>
        <v>-3063617.1596533894</v>
      </c>
      <c r="AL31" s="155">
        <f t="shared" si="44"/>
        <v>-3063617.1596533894</v>
      </c>
      <c r="AM31" s="155">
        <f t="shared" si="44"/>
        <v>-3023774.1392191029</v>
      </c>
      <c r="AN31" s="184">
        <f t="shared" si="38"/>
        <v>-3023774.1392191029</v>
      </c>
      <c r="AO31" s="155"/>
      <c r="AQ31" s="155">
        <f t="shared" si="31"/>
        <v>-3340808.1673508515</v>
      </c>
      <c r="AR31" s="155">
        <f t="shared" si="32"/>
        <v>15105.973490337417</v>
      </c>
      <c r="AS31" s="155">
        <f t="shared" si="32"/>
        <v>13708.107286753955</v>
      </c>
      <c r="AT31" s="155">
        <f t="shared" si="32"/>
        <v>12355.333541350605</v>
      </c>
      <c r="AU31" s="155">
        <f t="shared" si="32"/>
        <v>10957.467337767142</v>
      </c>
      <c r="AV31" s="155">
        <f t="shared" si="32"/>
        <v>9604.693592363792</v>
      </c>
      <c r="AW31" s="155">
        <f t="shared" si="32"/>
        <v>8206.827388780328</v>
      </c>
      <c r="AX31" s="155">
        <f t="shared" si="32"/>
        <v>6808.9611851968657</v>
      </c>
      <c r="AY31" s="155">
        <f t="shared" si="32"/>
        <v>5546.3723561537381</v>
      </c>
      <c r="AZ31" s="155">
        <f t="shared" si="32"/>
        <v>4148.5061525702758</v>
      </c>
      <c r="BA31" s="155">
        <f t="shared" si="32"/>
        <v>2795.732407166925</v>
      </c>
      <c r="BB31" s="155">
        <f t="shared" si="32"/>
        <v>1397.8662035834625</v>
      </c>
      <c r="BC31" s="155">
        <f t="shared" si="32"/>
        <v>45.092458180111691</v>
      </c>
      <c r="BD31" s="155">
        <f t="shared" si="33"/>
        <v>-3143303.2005219623</v>
      </c>
      <c r="BE31" s="155">
        <f t="shared" si="34"/>
        <v>-3250127.2339506471</v>
      </c>
    </row>
    <row r="32" spans="1:57" x14ac:dyDescent="0.15">
      <c r="A32" s="39" t="s">
        <v>627</v>
      </c>
      <c r="G32" s="155"/>
      <c r="H32" s="155">
        <f t="shared" si="26"/>
        <v>0</v>
      </c>
      <c r="I32" s="155">
        <f t="shared" si="26"/>
        <v>0</v>
      </c>
      <c r="J32" s="155">
        <f t="shared" si="26"/>
        <v>102013.6755049143</v>
      </c>
      <c r="K32" s="155">
        <f t="shared" si="26"/>
        <v>102013.6755049143</v>
      </c>
      <c r="L32" s="155">
        <f t="shared" si="26"/>
        <v>102013.6755049143</v>
      </c>
      <c r="M32" s="155">
        <f t="shared" si="26"/>
        <v>204027.35100982859</v>
      </c>
      <c r="N32" s="184">
        <f t="shared" si="27"/>
        <v>204027.35100982859</v>
      </c>
      <c r="O32" s="155">
        <f t="shared" si="28"/>
        <v>204027.35100982859</v>
      </c>
      <c r="P32" s="155">
        <f t="shared" ref="P32:Z32" si="45">+O32+SUMIF($B$282:$B$328,$A32,P$282:P$328)</f>
        <v>204027.35100982859</v>
      </c>
      <c r="Q32" s="155">
        <f t="shared" si="45"/>
        <v>-30222.290311406803</v>
      </c>
      <c r="R32" s="155">
        <f t="shared" si="45"/>
        <v>-30222.290311406803</v>
      </c>
      <c r="S32" s="155">
        <f t="shared" si="45"/>
        <v>-30222.290311406803</v>
      </c>
      <c r="T32" s="155">
        <f t="shared" si="45"/>
        <v>-264471.93163264217</v>
      </c>
      <c r="U32" s="155">
        <f t="shared" si="45"/>
        <v>-264471.93163264217</v>
      </c>
      <c r="V32" s="155">
        <f t="shared" si="45"/>
        <v>-264471.93163264217</v>
      </c>
      <c r="W32" s="155">
        <f t="shared" si="45"/>
        <v>-498721.57295387756</v>
      </c>
      <c r="X32" s="155">
        <f t="shared" si="45"/>
        <v>-498721.57295387756</v>
      </c>
      <c r="Y32" s="155">
        <f t="shared" si="45"/>
        <v>-498721.57295387756</v>
      </c>
      <c r="Z32" s="155">
        <f t="shared" si="45"/>
        <v>-732971.21427511296</v>
      </c>
      <c r="AA32" s="184">
        <f>+Z32</f>
        <v>-732971.21427511296</v>
      </c>
      <c r="AB32" s="155">
        <f t="shared" ref="AB32:AM32" si="46">+AA32+SUMIF($B$282:$B$328,$A32,AB$282:AB$328)</f>
        <v>-732971.21427511296</v>
      </c>
      <c r="AC32" s="155">
        <f t="shared" si="46"/>
        <v>-732971.21427511296</v>
      </c>
      <c r="AD32" s="155">
        <f t="shared" si="46"/>
        <v>-732971.21427511296</v>
      </c>
      <c r="AE32" s="155">
        <f t="shared" si="46"/>
        <v>-732971.21427511296</v>
      </c>
      <c r="AF32" s="155">
        <f t="shared" si="46"/>
        <v>-732971.21427511296</v>
      </c>
      <c r="AG32" s="155">
        <f t="shared" si="46"/>
        <v>-732971.21427511296</v>
      </c>
      <c r="AH32" s="155">
        <f t="shared" si="46"/>
        <v>-732971.21427511296</v>
      </c>
      <c r="AI32" s="155">
        <f t="shared" si="46"/>
        <v>-732971.21427511296</v>
      </c>
      <c r="AJ32" s="155">
        <f t="shared" si="46"/>
        <v>-732971.21427511296</v>
      </c>
      <c r="AK32" s="155">
        <f t="shared" si="46"/>
        <v>-732971.21427511296</v>
      </c>
      <c r="AL32" s="155">
        <f t="shared" si="46"/>
        <v>-732971.21427511296</v>
      </c>
      <c r="AM32" s="155">
        <f t="shared" si="46"/>
        <v>-732971.21427511296</v>
      </c>
      <c r="AN32" s="184">
        <f t="shared" si="38"/>
        <v>-732971.21427511296</v>
      </c>
      <c r="AO32" s="155"/>
      <c r="AQ32" s="155">
        <f t="shared" si="31"/>
        <v>-30222.290311406803</v>
      </c>
      <c r="AR32" s="155">
        <f t="shared" si="32"/>
        <v>-53749.061536036883</v>
      </c>
      <c r="AS32" s="155">
        <f t="shared" si="32"/>
        <v>-48775.267781955859</v>
      </c>
      <c r="AT32" s="155">
        <f t="shared" si="32"/>
        <v>-43961.918987683901</v>
      </c>
      <c r="AU32" s="155">
        <f t="shared" si="32"/>
        <v>-38988.125233602877</v>
      </c>
      <c r="AV32" s="155">
        <f t="shared" si="32"/>
        <v>-34174.776439330919</v>
      </c>
      <c r="AW32" s="155">
        <f t="shared" si="32"/>
        <v>-29200.982685249888</v>
      </c>
      <c r="AX32" s="155">
        <f t="shared" si="32"/>
        <v>-24227.188931168865</v>
      </c>
      <c r="AY32" s="155">
        <f t="shared" si="32"/>
        <v>-19734.730056515033</v>
      </c>
      <c r="AZ32" s="155">
        <f t="shared" si="32"/>
        <v>-14760.936302434011</v>
      </c>
      <c r="BA32" s="155">
        <f t="shared" si="32"/>
        <v>-9947.5875081620488</v>
      </c>
      <c r="BB32" s="155">
        <f t="shared" si="32"/>
        <v>-4973.7937540810244</v>
      </c>
      <c r="BC32" s="155">
        <f t="shared" si="32"/>
        <v>-160.44495980906532</v>
      </c>
      <c r="BD32" s="155">
        <f t="shared" si="33"/>
        <v>-732971.21427511296</v>
      </c>
      <c r="BE32" s="155">
        <f t="shared" si="34"/>
        <v>-352877.10448743723</v>
      </c>
    </row>
    <row r="33" spans="1:57" x14ac:dyDescent="0.15">
      <c r="A33" s="39" t="s">
        <v>1036</v>
      </c>
      <c r="G33" s="155"/>
      <c r="H33" s="155">
        <f t="shared" ref="H33:M35" si="47">+G33+SUMIF($B$282:$B$328,$A33,H$282:H$328)</f>
        <v>0</v>
      </c>
      <c r="I33" s="155">
        <f t="shared" si="47"/>
        <v>0</v>
      </c>
      <c r="J33" s="155">
        <f t="shared" si="47"/>
        <v>-206421.83813680697</v>
      </c>
      <c r="K33" s="155">
        <f t="shared" si="47"/>
        <v>-206421.83813680697</v>
      </c>
      <c r="L33" s="155">
        <f t="shared" si="47"/>
        <v>-206421.83813680697</v>
      </c>
      <c r="M33" s="155">
        <f t="shared" si="47"/>
        <v>-412843.67627361394</v>
      </c>
      <c r="N33" s="184">
        <f t="shared" si="27"/>
        <v>-412843.67627361394</v>
      </c>
      <c r="O33" s="155">
        <f t="shared" si="28"/>
        <v>-412843.67627361394</v>
      </c>
      <c r="P33" s="155">
        <f t="shared" ref="P33:Z33" si="48">+O33+SUMIF($B$282:$B$328,$A33,P$282:P$328)</f>
        <v>-412843.67627361394</v>
      </c>
      <c r="Q33" s="155">
        <f t="shared" si="48"/>
        <v>-868631.25175863598</v>
      </c>
      <c r="R33" s="155">
        <f t="shared" si="48"/>
        <v>-868631.25175863598</v>
      </c>
      <c r="S33" s="155">
        <f t="shared" si="48"/>
        <v>-868631.25175863598</v>
      </c>
      <c r="T33" s="155">
        <f t="shared" si="48"/>
        <v>-1324418.827243658</v>
      </c>
      <c r="U33" s="155">
        <f t="shared" si="48"/>
        <v>-1324418.827243658</v>
      </c>
      <c r="V33" s="155">
        <f t="shared" si="48"/>
        <v>-1324418.827243658</v>
      </c>
      <c r="W33" s="155">
        <f t="shared" si="48"/>
        <v>-1780206.4027286801</v>
      </c>
      <c r="X33" s="155">
        <f t="shared" si="48"/>
        <v>-1780206.4027286801</v>
      </c>
      <c r="Y33" s="155">
        <f t="shared" si="48"/>
        <v>-1780206.4027286801</v>
      </c>
      <c r="Z33" s="155">
        <f t="shared" si="48"/>
        <v>-2235993.9782137019</v>
      </c>
      <c r="AA33" s="184">
        <f>+Z33</f>
        <v>-2235993.9782137019</v>
      </c>
      <c r="AB33" s="155">
        <f t="shared" ref="AB33:AM33" si="49">+AA33+SUMIF($B$282:$B$328,$A33,AB$282:AB$328)</f>
        <v>-2235993.9782137019</v>
      </c>
      <c r="AC33" s="155">
        <f t="shared" si="49"/>
        <v>-2235993.9782137019</v>
      </c>
      <c r="AD33" s="155">
        <f t="shared" si="49"/>
        <v>-2045586.7168441121</v>
      </c>
      <c r="AE33" s="155">
        <f t="shared" si="49"/>
        <v>-2045586.7168441121</v>
      </c>
      <c r="AF33" s="155">
        <f t="shared" si="49"/>
        <v>-2045586.7168441121</v>
      </c>
      <c r="AG33" s="155">
        <f t="shared" si="49"/>
        <v>-1855179.4554745224</v>
      </c>
      <c r="AH33" s="155">
        <f t="shared" si="49"/>
        <v>-1855179.4554745224</v>
      </c>
      <c r="AI33" s="155">
        <f t="shared" si="49"/>
        <v>-1855179.4554745224</v>
      </c>
      <c r="AJ33" s="155">
        <f t="shared" si="49"/>
        <v>-1664772.1941049327</v>
      </c>
      <c r="AK33" s="155">
        <f t="shared" si="49"/>
        <v>-1664772.1941049327</v>
      </c>
      <c r="AL33" s="155">
        <f t="shared" si="49"/>
        <v>-1664772.1941049327</v>
      </c>
      <c r="AM33" s="155">
        <f t="shared" si="49"/>
        <v>-1474364.932735343</v>
      </c>
      <c r="AN33" s="184">
        <f t="shared" si="38"/>
        <v>-1474364.932735343</v>
      </c>
      <c r="AO33" s="155"/>
      <c r="AQ33" s="155">
        <f t="shared" si="31"/>
        <v>-868631.25175863598</v>
      </c>
      <c r="AR33" s="155">
        <f t="shared" si="32"/>
        <v>-90018.283288501043</v>
      </c>
      <c r="AS33" s="155">
        <f t="shared" si="32"/>
        <v>-81688.233193147214</v>
      </c>
      <c r="AT33" s="155">
        <f t="shared" si="32"/>
        <v>-73626.89439119189</v>
      </c>
      <c r="AU33" s="155">
        <f t="shared" si="32"/>
        <v>-65296.844295838069</v>
      </c>
      <c r="AV33" s="155">
        <f t="shared" si="32"/>
        <v>-57235.505493882752</v>
      </c>
      <c r="AW33" s="155">
        <f t="shared" si="32"/>
        <v>-48905.455398528924</v>
      </c>
      <c r="AX33" s="155">
        <f t="shared" si="32"/>
        <v>-40575.405303175095</v>
      </c>
      <c r="AY33" s="155">
        <f t="shared" si="32"/>
        <v>-33051.489088016795</v>
      </c>
      <c r="AZ33" s="155">
        <f t="shared" si="32"/>
        <v>-24721.438992662974</v>
      </c>
      <c r="BA33" s="155">
        <f t="shared" si="32"/>
        <v>-16660.100190707653</v>
      </c>
      <c r="BB33" s="155">
        <f t="shared" si="32"/>
        <v>-8330.0500953538267</v>
      </c>
      <c r="BC33" s="155">
        <f t="shared" si="32"/>
        <v>-268.71129339851058</v>
      </c>
      <c r="BD33" s="155">
        <f t="shared" si="33"/>
        <v>-2045586.7168441121</v>
      </c>
      <c r="BE33" s="155">
        <f t="shared" si="34"/>
        <v>-1409009.6627830409</v>
      </c>
    </row>
    <row r="34" spans="1:57" x14ac:dyDescent="0.15">
      <c r="A34" s="39" t="s">
        <v>622</v>
      </c>
      <c r="G34" s="155"/>
      <c r="H34" s="155">
        <f t="shared" si="47"/>
        <v>0</v>
      </c>
      <c r="I34" s="155">
        <f t="shared" si="47"/>
        <v>0</v>
      </c>
      <c r="J34" s="155">
        <f t="shared" si="47"/>
        <v>0</v>
      </c>
      <c r="K34" s="155">
        <f t="shared" si="47"/>
        <v>0</v>
      </c>
      <c r="L34" s="155">
        <f t="shared" si="47"/>
        <v>0</v>
      </c>
      <c r="M34" s="155">
        <f t="shared" si="47"/>
        <v>0</v>
      </c>
      <c r="N34" s="184">
        <f t="shared" si="27"/>
        <v>0</v>
      </c>
      <c r="O34" s="155">
        <f t="shared" si="28"/>
        <v>0</v>
      </c>
      <c r="P34" s="155">
        <f t="shared" ref="P34:Z34" si="50">+O34+SUMIF($B$282:$B$328,$A34,P$282:P$328)</f>
        <v>0</v>
      </c>
      <c r="Q34" s="155">
        <f t="shared" si="50"/>
        <v>0</v>
      </c>
      <c r="R34" s="155">
        <f t="shared" si="50"/>
        <v>0</v>
      </c>
      <c r="S34" s="155">
        <f t="shared" si="50"/>
        <v>0</v>
      </c>
      <c r="T34" s="155">
        <f t="shared" si="50"/>
        <v>0</v>
      </c>
      <c r="U34" s="155">
        <f t="shared" si="50"/>
        <v>0</v>
      </c>
      <c r="V34" s="155">
        <f t="shared" si="50"/>
        <v>0</v>
      </c>
      <c r="W34" s="155">
        <f t="shared" si="50"/>
        <v>0</v>
      </c>
      <c r="X34" s="155">
        <f t="shared" si="50"/>
        <v>0</v>
      </c>
      <c r="Y34" s="155">
        <f t="shared" si="50"/>
        <v>0</v>
      </c>
      <c r="Z34" s="155">
        <f t="shared" si="50"/>
        <v>0</v>
      </c>
      <c r="AA34" s="184">
        <f>+Z34</f>
        <v>0</v>
      </c>
      <c r="AB34" s="155">
        <f t="shared" ref="AB34:AM34" si="51">+AA34+SUMIF($B$282:$B$328,$A34,AB$282:AB$328)</f>
        <v>0</v>
      </c>
      <c r="AC34" s="155">
        <f t="shared" si="51"/>
        <v>0</v>
      </c>
      <c r="AD34" s="155">
        <f t="shared" si="51"/>
        <v>0</v>
      </c>
      <c r="AE34" s="155">
        <f t="shared" si="51"/>
        <v>0</v>
      </c>
      <c r="AF34" s="155">
        <f t="shared" si="51"/>
        <v>0</v>
      </c>
      <c r="AG34" s="155">
        <f t="shared" si="51"/>
        <v>0</v>
      </c>
      <c r="AH34" s="155">
        <f t="shared" si="51"/>
        <v>0</v>
      </c>
      <c r="AI34" s="155">
        <f t="shared" si="51"/>
        <v>0</v>
      </c>
      <c r="AJ34" s="155">
        <f t="shared" si="51"/>
        <v>0</v>
      </c>
      <c r="AK34" s="155">
        <f t="shared" si="51"/>
        <v>0</v>
      </c>
      <c r="AL34" s="155">
        <f t="shared" si="51"/>
        <v>0</v>
      </c>
      <c r="AM34" s="155">
        <f t="shared" si="51"/>
        <v>0</v>
      </c>
      <c r="AN34" s="184">
        <f t="shared" si="38"/>
        <v>0</v>
      </c>
      <c r="AO34" s="155"/>
      <c r="AQ34" s="155">
        <f t="shared" si="31"/>
        <v>0</v>
      </c>
      <c r="AR34" s="155">
        <f t="shared" si="32"/>
        <v>0</v>
      </c>
      <c r="AS34" s="155">
        <f t="shared" si="32"/>
        <v>0</v>
      </c>
      <c r="AT34" s="155">
        <f t="shared" si="32"/>
        <v>0</v>
      </c>
      <c r="AU34" s="155">
        <f t="shared" si="32"/>
        <v>0</v>
      </c>
      <c r="AV34" s="155">
        <f t="shared" si="32"/>
        <v>0</v>
      </c>
      <c r="AW34" s="155">
        <f t="shared" si="32"/>
        <v>0</v>
      </c>
      <c r="AX34" s="155">
        <f t="shared" si="32"/>
        <v>0</v>
      </c>
      <c r="AY34" s="155">
        <f t="shared" si="32"/>
        <v>0</v>
      </c>
      <c r="AZ34" s="155">
        <f t="shared" si="32"/>
        <v>0</v>
      </c>
      <c r="BA34" s="155">
        <f t="shared" si="32"/>
        <v>0</v>
      </c>
      <c r="BB34" s="155">
        <f t="shared" si="32"/>
        <v>0</v>
      </c>
      <c r="BC34" s="155">
        <f t="shared" si="32"/>
        <v>0</v>
      </c>
      <c r="BD34" s="155">
        <f t="shared" si="33"/>
        <v>0</v>
      </c>
      <c r="BE34" s="155">
        <f t="shared" si="34"/>
        <v>0</v>
      </c>
    </row>
    <row r="35" spans="1:57" x14ac:dyDescent="0.15">
      <c r="A35" s="39" t="s">
        <v>1028</v>
      </c>
      <c r="G35" s="155"/>
      <c r="H35" s="155">
        <f t="shared" si="47"/>
        <v>0</v>
      </c>
      <c r="I35" s="155">
        <f t="shared" si="47"/>
        <v>0</v>
      </c>
      <c r="J35" s="155">
        <f t="shared" si="47"/>
        <v>-149105.69099999999</v>
      </c>
      <c r="K35" s="155">
        <f t="shared" ref="K35:M54" si="52">+J35+SUMIF($B$282:$B$328,$A35,K$282:K$328)</f>
        <v>-149105.69099999999</v>
      </c>
      <c r="L35" s="155">
        <f t="shared" si="52"/>
        <v>-149105.69099999999</v>
      </c>
      <c r="M35" s="155">
        <f t="shared" si="52"/>
        <v>-298211.38199999998</v>
      </c>
      <c r="N35" s="184">
        <f t="shared" si="27"/>
        <v>-298211.38199999998</v>
      </c>
      <c r="O35" s="155">
        <f t="shared" si="28"/>
        <v>-298211.38199999998</v>
      </c>
      <c r="P35" s="155">
        <f t="shared" ref="P35:Z35" si="53">+O35+SUMIF($B$282:$B$328,$A35,P$282:P$328)</f>
        <v>-298211.38199999998</v>
      </c>
      <c r="Q35" s="155">
        <f t="shared" si="53"/>
        <v>-278330.62320000003</v>
      </c>
      <c r="R35" s="155">
        <f t="shared" si="53"/>
        <v>-278330.62320000003</v>
      </c>
      <c r="S35" s="155">
        <f t="shared" si="53"/>
        <v>-278330.62320000003</v>
      </c>
      <c r="T35" s="155">
        <f t="shared" si="53"/>
        <v>-258449.86440000011</v>
      </c>
      <c r="U35" s="155">
        <f t="shared" si="53"/>
        <v>-258449.86440000011</v>
      </c>
      <c r="V35" s="155">
        <f t="shared" si="53"/>
        <v>-258449.86440000011</v>
      </c>
      <c r="W35" s="155">
        <f t="shared" si="53"/>
        <v>-238569.10560000018</v>
      </c>
      <c r="X35" s="155">
        <f t="shared" si="53"/>
        <v>-238569.10560000018</v>
      </c>
      <c r="Y35" s="155">
        <f t="shared" si="53"/>
        <v>-238569.10560000018</v>
      </c>
      <c r="Z35" s="155">
        <f t="shared" si="53"/>
        <v>-218688.34680000026</v>
      </c>
      <c r="AA35" s="184">
        <f>+Z35</f>
        <v>-218688.34680000026</v>
      </c>
      <c r="AB35" s="155">
        <f t="shared" ref="AB35:AM35" si="54">+AA35+SUMIF($B$282:$B$328,$A35,AB$282:AB$328)</f>
        <v>-218688.34680000026</v>
      </c>
      <c r="AC35" s="155">
        <f t="shared" si="54"/>
        <v>-218688.34680000026</v>
      </c>
      <c r="AD35" s="155">
        <f t="shared" si="54"/>
        <v>-188867.20860000022</v>
      </c>
      <c r="AE35" s="155">
        <f t="shared" si="54"/>
        <v>-188867.20860000022</v>
      </c>
      <c r="AF35" s="155">
        <f t="shared" si="54"/>
        <v>-188867.20860000022</v>
      </c>
      <c r="AG35" s="155">
        <f t="shared" si="54"/>
        <v>-159046.07040000017</v>
      </c>
      <c r="AH35" s="155">
        <f t="shared" si="54"/>
        <v>-159046.07040000017</v>
      </c>
      <c r="AI35" s="155">
        <f t="shared" si="54"/>
        <v>-159046.07040000017</v>
      </c>
      <c r="AJ35" s="155">
        <f t="shared" si="54"/>
        <v>-129224.93220000013</v>
      </c>
      <c r="AK35" s="155">
        <f t="shared" si="54"/>
        <v>-129224.93220000013</v>
      </c>
      <c r="AL35" s="155">
        <f t="shared" si="54"/>
        <v>-129224.93220000013</v>
      </c>
      <c r="AM35" s="155">
        <f t="shared" si="54"/>
        <v>-99403.794000000082</v>
      </c>
      <c r="AN35" s="184">
        <f t="shared" si="38"/>
        <v>-99403.794000000082</v>
      </c>
      <c r="AO35" s="155"/>
      <c r="AQ35" s="155">
        <f t="shared" si="31"/>
        <v>-278330.62320000003</v>
      </c>
      <c r="AR35" s="155">
        <f t="shared" si="32"/>
        <v>6842.5214363013556</v>
      </c>
      <c r="AS35" s="155">
        <f t="shared" si="32"/>
        <v>6209.3328854794399</v>
      </c>
      <c r="AT35" s="155">
        <f t="shared" si="32"/>
        <v>5596.5697717808107</v>
      </c>
      <c r="AU35" s="155">
        <f t="shared" si="32"/>
        <v>4963.3812209588941</v>
      </c>
      <c r="AV35" s="155">
        <f t="shared" si="32"/>
        <v>4350.6181072602658</v>
      </c>
      <c r="AW35" s="155">
        <f t="shared" si="32"/>
        <v>3717.4295564383488</v>
      </c>
      <c r="AX35" s="155">
        <f t="shared" si="32"/>
        <v>3084.2410056164322</v>
      </c>
      <c r="AY35" s="155">
        <f t="shared" si="32"/>
        <v>2512.3287661643785</v>
      </c>
      <c r="AZ35" s="155">
        <f t="shared" si="32"/>
        <v>1879.1402153424622</v>
      </c>
      <c r="BA35" s="155">
        <f t="shared" si="32"/>
        <v>1266.3771016438329</v>
      </c>
      <c r="BB35" s="155">
        <f t="shared" si="32"/>
        <v>633.18855082191646</v>
      </c>
      <c r="BC35" s="155">
        <f t="shared" si="32"/>
        <v>20.42543712328763</v>
      </c>
      <c r="BD35" s="155">
        <f t="shared" si="33"/>
        <v>-188867.20860000022</v>
      </c>
      <c r="BE35" s="155">
        <f t="shared" si="34"/>
        <v>-237255.06914506864</v>
      </c>
    </row>
    <row r="36" spans="1:57" x14ac:dyDescent="0.15">
      <c r="A36" s="39" t="s">
        <v>42</v>
      </c>
      <c r="G36" s="155">
        <v>198224.05</v>
      </c>
      <c r="H36" s="155">
        <f t="shared" ref="H36:J55" si="55">+G36+SUMIF($B$282:$B$328,$A36,H$282:H$328)</f>
        <v>198224.05</v>
      </c>
      <c r="I36" s="155">
        <f t="shared" si="55"/>
        <v>198224.05</v>
      </c>
      <c r="J36" s="155">
        <f t="shared" si="55"/>
        <v>198224.05</v>
      </c>
      <c r="K36" s="155">
        <f t="shared" si="52"/>
        <v>198224.05</v>
      </c>
      <c r="L36" s="155">
        <f t="shared" si="52"/>
        <v>198224.05</v>
      </c>
      <c r="M36" s="155">
        <f t="shared" si="52"/>
        <v>198224.05</v>
      </c>
      <c r="N36" s="184">
        <f t="shared" si="27"/>
        <v>198224.05</v>
      </c>
      <c r="O36" s="155">
        <f t="shared" si="28"/>
        <v>198224.05</v>
      </c>
      <c r="P36" s="155">
        <f t="shared" ref="P36:Z36" si="56">+O36+SUMIF($B$282:$B$328,$A36,P$282:P$328)</f>
        <v>198224.05</v>
      </c>
      <c r="Q36" s="155">
        <f t="shared" si="56"/>
        <v>198224.05</v>
      </c>
      <c r="R36" s="155">
        <f t="shared" si="56"/>
        <v>198224.05</v>
      </c>
      <c r="S36" s="155">
        <f t="shared" si="56"/>
        <v>198224.05</v>
      </c>
      <c r="T36" s="155">
        <f t="shared" si="56"/>
        <v>198224.05</v>
      </c>
      <c r="U36" s="155">
        <f t="shared" si="56"/>
        <v>198224.05</v>
      </c>
      <c r="V36" s="155">
        <f t="shared" si="56"/>
        <v>198224.05</v>
      </c>
      <c r="W36" s="155">
        <f t="shared" si="56"/>
        <v>198224.05</v>
      </c>
      <c r="X36" s="155">
        <f t="shared" si="56"/>
        <v>198224.05</v>
      </c>
      <c r="Y36" s="155">
        <f t="shared" si="56"/>
        <v>198224.05</v>
      </c>
      <c r="Z36" s="155">
        <f t="shared" si="56"/>
        <v>198224.05</v>
      </c>
      <c r="AA36" s="184">
        <f t="shared" si="36"/>
        <v>198224.05</v>
      </c>
      <c r="AB36" s="155">
        <f t="shared" ref="AB36:AM36" si="57">+AA36+SUMIF($B$282:$B$328,$A36,AB$282:AB$328)</f>
        <v>198224.05</v>
      </c>
      <c r="AC36" s="155">
        <f t="shared" si="57"/>
        <v>198224.05</v>
      </c>
      <c r="AD36" s="155">
        <f t="shared" si="57"/>
        <v>198224.05</v>
      </c>
      <c r="AE36" s="155">
        <f t="shared" si="57"/>
        <v>198224.05</v>
      </c>
      <c r="AF36" s="155">
        <f t="shared" si="57"/>
        <v>198224.05</v>
      </c>
      <c r="AG36" s="155">
        <f t="shared" si="57"/>
        <v>198224.05</v>
      </c>
      <c r="AH36" s="155">
        <f t="shared" si="57"/>
        <v>198224.05</v>
      </c>
      <c r="AI36" s="155">
        <f t="shared" si="57"/>
        <v>198224.05</v>
      </c>
      <c r="AJ36" s="155">
        <f t="shared" si="57"/>
        <v>198224.05</v>
      </c>
      <c r="AK36" s="155">
        <f t="shared" si="57"/>
        <v>198224.05</v>
      </c>
      <c r="AL36" s="155">
        <f t="shared" si="57"/>
        <v>198224.05</v>
      </c>
      <c r="AM36" s="155">
        <f t="shared" si="57"/>
        <v>198224.05</v>
      </c>
      <c r="AN36" s="184">
        <f t="shared" si="38"/>
        <v>198224.05</v>
      </c>
      <c r="AO36" s="155"/>
      <c r="AQ36" s="155">
        <f t="shared" si="31"/>
        <v>198224.05</v>
      </c>
      <c r="AR36" s="155">
        <f t="shared" si="32"/>
        <v>0</v>
      </c>
      <c r="AS36" s="155">
        <f t="shared" si="32"/>
        <v>0</v>
      </c>
      <c r="AT36" s="155">
        <f t="shared" si="32"/>
        <v>0</v>
      </c>
      <c r="AU36" s="155">
        <f t="shared" si="32"/>
        <v>0</v>
      </c>
      <c r="AV36" s="155">
        <f t="shared" si="32"/>
        <v>0</v>
      </c>
      <c r="AW36" s="155">
        <f t="shared" si="32"/>
        <v>0</v>
      </c>
      <c r="AX36" s="155">
        <f t="shared" si="32"/>
        <v>0</v>
      </c>
      <c r="AY36" s="155">
        <f t="shared" si="32"/>
        <v>0</v>
      </c>
      <c r="AZ36" s="155">
        <f t="shared" si="32"/>
        <v>0</v>
      </c>
      <c r="BA36" s="155">
        <f t="shared" si="32"/>
        <v>0</v>
      </c>
      <c r="BB36" s="155">
        <f t="shared" si="32"/>
        <v>0</v>
      </c>
      <c r="BC36" s="155">
        <f t="shared" si="32"/>
        <v>0</v>
      </c>
      <c r="BD36" s="155">
        <f t="shared" si="33"/>
        <v>198224.05</v>
      </c>
      <c r="BE36" s="155">
        <f t="shared" si="34"/>
        <v>198224.05</v>
      </c>
    </row>
    <row r="37" spans="1:57" x14ac:dyDescent="0.15">
      <c r="A37" s="39" t="s">
        <v>43</v>
      </c>
      <c r="G37" s="155">
        <v>-13136652.060000001</v>
      </c>
      <c r="H37" s="155">
        <f t="shared" si="55"/>
        <v>-13136652.060000001</v>
      </c>
      <c r="I37" s="155">
        <f t="shared" si="55"/>
        <v>-13136652.060000001</v>
      </c>
      <c r="J37" s="155">
        <f t="shared" si="55"/>
        <v>-28386426.656364001</v>
      </c>
      <c r="K37" s="155">
        <f t="shared" si="52"/>
        <v>-28386426.656364001</v>
      </c>
      <c r="L37" s="155">
        <f t="shared" si="52"/>
        <v>-28386426.656364001</v>
      </c>
      <c r="M37" s="155">
        <f t="shared" si="52"/>
        <v>-33469684.855152</v>
      </c>
      <c r="N37" s="184">
        <f t="shared" si="27"/>
        <v>-33469684.855152</v>
      </c>
      <c r="O37" s="155">
        <f t="shared" si="28"/>
        <v>-33469684.855152</v>
      </c>
      <c r="P37" s="155">
        <f t="shared" ref="P37:Z37" si="58">+O37+SUMIF($B$282:$B$328,$A37,P$282:P$328)</f>
        <v>-33469684.855152</v>
      </c>
      <c r="Q37" s="155">
        <f t="shared" si="58"/>
        <v>-39861758.630044729</v>
      </c>
      <c r="R37" s="155">
        <f t="shared" si="58"/>
        <v>-39861758.630044729</v>
      </c>
      <c r="S37" s="155">
        <f t="shared" si="58"/>
        <v>-39861758.630044729</v>
      </c>
      <c r="T37" s="155">
        <f t="shared" si="58"/>
        <v>-46253832.404937461</v>
      </c>
      <c r="U37" s="155">
        <f t="shared" si="58"/>
        <v>-46253832.404937461</v>
      </c>
      <c r="V37" s="155">
        <f t="shared" si="58"/>
        <v>-46253832.404937461</v>
      </c>
      <c r="W37" s="155">
        <f t="shared" si="58"/>
        <v>-52645906.179830194</v>
      </c>
      <c r="X37" s="155">
        <f t="shared" si="58"/>
        <v>-52645906.179830194</v>
      </c>
      <c r="Y37" s="155">
        <f t="shared" si="58"/>
        <v>-52645906.179830194</v>
      </c>
      <c r="Z37" s="155">
        <f t="shared" si="58"/>
        <v>-59037979.954722926</v>
      </c>
      <c r="AA37" s="184">
        <f t="shared" si="36"/>
        <v>-59037979.954722926</v>
      </c>
      <c r="AB37" s="155">
        <f t="shared" ref="AB37:AM37" si="59">+AA37+SUMIF($B$282:$B$328,$A37,AB$282:AB$328)</f>
        <v>-59037979.954722926</v>
      </c>
      <c r="AC37" s="155">
        <f t="shared" si="59"/>
        <v>-59037979.954722926</v>
      </c>
      <c r="AD37" s="155">
        <f t="shared" si="59"/>
        <v>-59037979.954722926</v>
      </c>
      <c r="AE37" s="155">
        <f t="shared" si="59"/>
        <v>-59037979.954722926</v>
      </c>
      <c r="AF37" s="155">
        <f t="shared" si="59"/>
        <v>-59037979.954722926</v>
      </c>
      <c r="AG37" s="155">
        <f t="shared" si="59"/>
        <v>-59037979.954722926</v>
      </c>
      <c r="AH37" s="155">
        <f t="shared" si="59"/>
        <v>-59037979.954722926</v>
      </c>
      <c r="AI37" s="155">
        <f t="shared" si="59"/>
        <v>-59037979.954722926</v>
      </c>
      <c r="AJ37" s="155">
        <f t="shared" si="59"/>
        <v>-59037979.954722926</v>
      </c>
      <c r="AK37" s="155">
        <f t="shared" si="59"/>
        <v>-59037979.954722926</v>
      </c>
      <c r="AL37" s="155">
        <f t="shared" si="59"/>
        <v>-59037979.954722926</v>
      </c>
      <c r="AM37" s="155">
        <f t="shared" si="59"/>
        <v>-59037979.954722926</v>
      </c>
      <c r="AN37" s="184">
        <f t="shared" si="38"/>
        <v>-59037979.954722926</v>
      </c>
      <c r="AO37" s="155"/>
      <c r="AQ37" s="155">
        <f t="shared" si="31"/>
        <v>-39861758.630044729</v>
      </c>
      <c r="AR37" s="155">
        <f t="shared" si="32"/>
        <v>-1466674.462047305</v>
      </c>
      <c r="AS37" s="155">
        <f t="shared" si="32"/>
        <v>-1330952.3476488977</v>
      </c>
      <c r="AT37" s="155">
        <f t="shared" si="32"/>
        <v>-1199608.3659730197</v>
      </c>
      <c r="AU37" s="155">
        <f t="shared" si="32"/>
        <v>-1063886.2515746125</v>
      </c>
      <c r="AV37" s="155">
        <f t="shared" si="32"/>
        <v>-932542.26989873429</v>
      </c>
      <c r="AW37" s="155">
        <f t="shared" si="32"/>
        <v>-796820.15550032689</v>
      </c>
      <c r="AX37" s="155">
        <f t="shared" si="32"/>
        <v>-661098.0411019196</v>
      </c>
      <c r="AY37" s="155">
        <f t="shared" si="32"/>
        <v>-538510.32487110002</v>
      </c>
      <c r="AZ37" s="155">
        <f t="shared" si="32"/>
        <v>-402788.21047269274</v>
      </c>
      <c r="BA37" s="155">
        <f t="shared" si="32"/>
        <v>-271444.22879681468</v>
      </c>
      <c r="BB37" s="155">
        <f t="shared" si="32"/>
        <v>-135722.11439840734</v>
      </c>
      <c r="BC37" s="155">
        <f t="shared" si="32"/>
        <v>-4378.1327225292689</v>
      </c>
      <c r="BD37" s="155">
        <f t="shared" si="33"/>
        <v>-59037979.954722926</v>
      </c>
      <c r="BE37" s="155">
        <f t="shared" si="34"/>
        <v>-48666183.535051093</v>
      </c>
    </row>
    <row r="38" spans="1:57" x14ac:dyDescent="0.15">
      <c r="A38" s="39" t="s">
        <v>44</v>
      </c>
      <c r="G38" s="155">
        <v>39148508.119999997</v>
      </c>
      <c r="H38" s="155">
        <f t="shared" si="55"/>
        <v>39148508.119999997</v>
      </c>
      <c r="I38" s="155">
        <f t="shared" si="55"/>
        <v>39148508.119999997</v>
      </c>
      <c r="J38" s="155">
        <f t="shared" si="55"/>
        <v>49112188.2644656</v>
      </c>
      <c r="K38" s="155">
        <f t="shared" si="52"/>
        <v>49112188.2644656</v>
      </c>
      <c r="L38" s="155">
        <f t="shared" si="52"/>
        <v>49112188.2644656</v>
      </c>
      <c r="M38" s="155">
        <f t="shared" si="52"/>
        <v>59075868.408931196</v>
      </c>
      <c r="N38" s="184">
        <f t="shared" si="27"/>
        <v>59075868.408931196</v>
      </c>
      <c r="O38" s="155">
        <f t="shared" si="28"/>
        <v>59075868.408931196</v>
      </c>
      <c r="P38" s="155">
        <f t="shared" ref="P38:Z38" si="60">+O38+SUMIF($B$282:$B$328,$A38,P$282:P$328)</f>
        <v>59075868.408931196</v>
      </c>
      <c r="Q38" s="155">
        <f t="shared" si="60"/>
        <v>71801307.137179539</v>
      </c>
      <c r="R38" s="155">
        <f t="shared" si="60"/>
        <v>71801307.137179539</v>
      </c>
      <c r="S38" s="155">
        <f t="shared" si="60"/>
        <v>71801307.137179539</v>
      </c>
      <c r="T38" s="155">
        <f t="shared" si="60"/>
        <v>84526745.865427881</v>
      </c>
      <c r="U38" s="155">
        <f t="shared" si="60"/>
        <v>84526745.865427881</v>
      </c>
      <c r="V38" s="155">
        <f t="shared" si="60"/>
        <v>84526745.865427881</v>
      </c>
      <c r="W38" s="155">
        <f t="shared" si="60"/>
        <v>97252184.593676224</v>
      </c>
      <c r="X38" s="155">
        <f t="shared" si="60"/>
        <v>97252184.593676224</v>
      </c>
      <c r="Y38" s="155">
        <f t="shared" si="60"/>
        <v>97252184.593676224</v>
      </c>
      <c r="Z38" s="155">
        <f t="shared" si="60"/>
        <v>109977623.32192457</v>
      </c>
      <c r="AA38" s="184">
        <f t="shared" si="36"/>
        <v>109977623.32192457</v>
      </c>
      <c r="AB38" s="155">
        <f t="shared" ref="AB38:AM38" si="61">+AA38+SUMIF($B$282:$B$328,$A38,AB$282:AB$328)</f>
        <v>109977623.32192457</v>
      </c>
      <c r="AC38" s="155">
        <f t="shared" si="61"/>
        <v>109977623.32192457</v>
      </c>
      <c r="AD38" s="155">
        <f t="shared" si="61"/>
        <v>124184483.65966122</v>
      </c>
      <c r="AE38" s="155">
        <f t="shared" si="61"/>
        <v>124184483.65966122</v>
      </c>
      <c r="AF38" s="155">
        <f t="shared" si="61"/>
        <v>124184483.65966122</v>
      </c>
      <c r="AG38" s="155">
        <f t="shared" si="61"/>
        <v>138391343.99739787</v>
      </c>
      <c r="AH38" s="155">
        <f t="shared" si="61"/>
        <v>138391343.99739787</v>
      </c>
      <c r="AI38" s="155">
        <f t="shared" si="61"/>
        <v>138391343.99739787</v>
      </c>
      <c r="AJ38" s="155">
        <f t="shared" si="61"/>
        <v>152598204.33513451</v>
      </c>
      <c r="AK38" s="155">
        <f t="shared" si="61"/>
        <v>152598204.33513451</v>
      </c>
      <c r="AL38" s="155">
        <f t="shared" si="61"/>
        <v>152598204.33513451</v>
      </c>
      <c r="AM38" s="155">
        <f t="shared" si="61"/>
        <v>166805064.67287117</v>
      </c>
      <c r="AN38" s="184">
        <f t="shared" si="38"/>
        <v>166805064.67287117</v>
      </c>
      <c r="AO38" s="155"/>
      <c r="AQ38" s="155">
        <f t="shared" si="31"/>
        <v>71801307.137179539</v>
      </c>
      <c r="AR38" s="155">
        <f t="shared" si="32"/>
        <v>4006475.8299158365</v>
      </c>
      <c r="AS38" s="155">
        <f t="shared" si="32"/>
        <v>3635727.3202818334</v>
      </c>
      <c r="AT38" s="155">
        <f t="shared" si="32"/>
        <v>3276938.4399908632</v>
      </c>
      <c r="AU38" s="155">
        <f t="shared" si="32"/>
        <v>2906189.9303568606</v>
      </c>
      <c r="AV38" s="155">
        <f t="shared" si="32"/>
        <v>2547401.05006589</v>
      </c>
      <c r="AW38" s="155">
        <f t="shared" si="32"/>
        <v>2176652.5404318874</v>
      </c>
      <c r="AX38" s="155">
        <f t="shared" si="32"/>
        <v>1805904.0307978846</v>
      </c>
      <c r="AY38" s="155">
        <f t="shared" si="32"/>
        <v>1471034.4091929786</v>
      </c>
      <c r="AZ38" s="155">
        <f t="shared" si="32"/>
        <v>1100285.8995589761</v>
      </c>
      <c r="BA38" s="155">
        <f t="shared" si="32"/>
        <v>741497.0192680055</v>
      </c>
      <c r="BB38" s="155">
        <f t="shared" si="32"/>
        <v>370748.50963400275</v>
      </c>
      <c r="BC38" s="155">
        <f t="shared" si="32"/>
        <v>11959.629343032348</v>
      </c>
      <c r="BD38" s="155">
        <f t="shared" si="33"/>
        <v>124184483.65966122</v>
      </c>
      <c r="BE38" s="155">
        <f t="shared" si="34"/>
        <v>95852121.74601759</v>
      </c>
    </row>
    <row r="39" spans="1:57" x14ac:dyDescent="0.15">
      <c r="A39" s="39" t="s">
        <v>45</v>
      </c>
      <c r="G39" s="155">
        <v>2674161.02</v>
      </c>
      <c r="H39" s="155">
        <f t="shared" si="55"/>
        <v>2674161.02</v>
      </c>
      <c r="I39" s="155">
        <f t="shared" si="55"/>
        <v>2674161.02</v>
      </c>
      <c r="J39" s="155">
        <f t="shared" si="55"/>
        <v>2674161.02</v>
      </c>
      <c r="K39" s="155">
        <f t="shared" si="52"/>
        <v>2674161.02</v>
      </c>
      <c r="L39" s="155">
        <f t="shared" si="52"/>
        <v>2674161.02</v>
      </c>
      <c r="M39" s="155">
        <f t="shared" si="52"/>
        <v>2674161.02</v>
      </c>
      <c r="N39" s="184">
        <f t="shared" si="27"/>
        <v>2674161.02</v>
      </c>
      <c r="O39" s="155">
        <f t="shared" si="28"/>
        <v>2674161.02</v>
      </c>
      <c r="P39" s="155">
        <f t="shared" ref="P39:Z39" si="62">+O39+SUMIF($B$282:$B$328,$A39,P$282:P$328)</f>
        <v>2674161.02</v>
      </c>
      <c r="Q39" s="155">
        <f t="shared" si="62"/>
        <v>2674161.02</v>
      </c>
      <c r="R39" s="155">
        <f t="shared" si="62"/>
        <v>2674161.02</v>
      </c>
      <c r="S39" s="155">
        <f t="shared" si="62"/>
        <v>2674161.02</v>
      </c>
      <c r="T39" s="155">
        <f t="shared" si="62"/>
        <v>2674161.02</v>
      </c>
      <c r="U39" s="155">
        <f t="shared" si="62"/>
        <v>2674161.02</v>
      </c>
      <c r="V39" s="155">
        <f t="shared" si="62"/>
        <v>2674161.02</v>
      </c>
      <c r="W39" s="155">
        <f t="shared" si="62"/>
        <v>2674161.02</v>
      </c>
      <c r="X39" s="155">
        <f t="shared" si="62"/>
        <v>2674161.02</v>
      </c>
      <c r="Y39" s="155">
        <f t="shared" si="62"/>
        <v>2674161.02</v>
      </c>
      <c r="Z39" s="155">
        <f t="shared" si="62"/>
        <v>2674161.02</v>
      </c>
      <c r="AA39" s="184">
        <f t="shared" si="36"/>
        <v>2674161.02</v>
      </c>
      <c r="AB39" s="155">
        <f t="shared" ref="AB39:AM39" si="63">+AA39+SUMIF($B$282:$B$328,$A39,AB$282:AB$328)</f>
        <v>2674161.02</v>
      </c>
      <c r="AC39" s="155">
        <f t="shared" si="63"/>
        <v>2674161.02</v>
      </c>
      <c r="AD39" s="155">
        <f t="shared" si="63"/>
        <v>2674161.02</v>
      </c>
      <c r="AE39" s="155">
        <f t="shared" si="63"/>
        <v>2674161.02</v>
      </c>
      <c r="AF39" s="155">
        <f t="shared" si="63"/>
        <v>2674161.02</v>
      </c>
      <c r="AG39" s="155">
        <f t="shared" si="63"/>
        <v>2674161.02</v>
      </c>
      <c r="AH39" s="155">
        <f t="shared" si="63"/>
        <v>2674161.02</v>
      </c>
      <c r="AI39" s="155">
        <f t="shared" si="63"/>
        <v>2674161.02</v>
      </c>
      <c r="AJ39" s="155">
        <f t="shared" si="63"/>
        <v>2674161.02</v>
      </c>
      <c r="AK39" s="155">
        <f t="shared" si="63"/>
        <v>2674161.02</v>
      </c>
      <c r="AL39" s="155">
        <f t="shared" si="63"/>
        <v>2674161.02</v>
      </c>
      <c r="AM39" s="155">
        <f t="shared" si="63"/>
        <v>2674161.02</v>
      </c>
      <c r="AN39" s="184">
        <f t="shared" si="38"/>
        <v>2674161.02</v>
      </c>
      <c r="AO39" s="155"/>
      <c r="AQ39" s="155">
        <f t="shared" si="31"/>
        <v>2674161.02</v>
      </c>
      <c r="AR39" s="155">
        <f t="shared" si="32"/>
        <v>0</v>
      </c>
      <c r="AS39" s="155">
        <f t="shared" si="32"/>
        <v>0</v>
      </c>
      <c r="AT39" s="155">
        <f t="shared" si="32"/>
        <v>0</v>
      </c>
      <c r="AU39" s="155">
        <f t="shared" si="32"/>
        <v>0</v>
      </c>
      <c r="AV39" s="155">
        <f t="shared" si="32"/>
        <v>0</v>
      </c>
      <c r="AW39" s="155">
        <f t="shared" si="32"/>
        <v>0</v>
      </c>
      <c r="AX39" s="155">
        <f t="shared" si="32"/>
        <v>0</v>
      </c>
      <c r="AY39" s="155">
        <f t="shared" si="32"/>
        <v>0</v>
      </c>
      <c r="AZ39" s="155">
        <f t="shared" si="32"/>
        <v>0</v>
      </c>
      <c r="BA39" s="155">
        <f t="shared" si="32"/>
        <v>0</v>
      </c>
      <c r="BB39" s="155">
        <f t="shared" si="32"/>
        <v>0</v>
      </c>
      <c r="BC39" s="155">
        <f t="shared" si="32"/>
        <v>0</v>
      </c>
      <c r="BD39" s="155">
        <f t="shared" si="33"/>
        <v>2674161.02</v>
      </c>
      <c r="BE39" s="155">
        <f t="shared" si="34"/>
        <v>2674161.02</v>
      </c>
    </row>
    <row r="40" spans="1:57" x14ac:dyDescent="0.15">
      <c r="A40" s="39" t="s">
        <v>46</v>
      </c>
      <c r="G40" s="155">
        <v>468350.43</v>
      </c>
      <c r="H40" s="155">
        <f t="shared" si="55"/>
        <v>468350.43</v>
      </c>
      <c r="I40" s="155">
        <f t="shared" si="55"/>
        <v>468350.43</v>
      </c>
      <c r="J40" s="155">
        <f t="shared" si="55"/>
        <v>468350.43</v>
      </c>
      <c r="K40" s="155">
        <f t="shared" si="52"/>
        <v>468350.43</v>
      </c>
      <c r="L40" s="155">
        <f t="shared" si="52"/>
        <v>468350.43</v>
      </c>
      <c r="M40" s="155">
        <f t="shared" si="52"/>
        <v>468350.43</v>
      </c>
      <c r="N40" s="184">
        <f t="shared" si="27"/>
        <v>468350.43</v>
      </c>
      <c r="O40" s="155">
        <f t="shared" si="28"/>
        <v>468350.43</v>
      </c>
      <c r="P40" s="155">
        <f t="shared" ref="P40:Z40" si="64">+O40+SUMIF($B$282:$B$328,$A40,P$282:P$328)</f>
        <v>468350.43</v>
      </c>
      <c r="Q40" s="155">
        <f t="shared" si="64"/>
        <v>468350.43</v>
      </c>
      <c r="R40" s="155">
        <f t="shared" si="64"/>
        <v>468350.43</v>
      </c>
      <c r="S40" s="155">
        <f t="shared" si="64"/>
        <v>468350.43</v>
      </c>
      <c r="T40" s="155">
        <f t="shared" si="64"/>
        <v>468350.43</v>
      </c>
      <c r="U40" s="155">
        <f t="shared" si="64"/>
        <v>468350.43</v>
      </c>
      <c r="V40" s="155">
        <f t="shared" si="64"/>
        <v>468350.43</v>
      </c>
      <c r="W40" s="155">
        <f t="shared" si="64"/>
        <v>468350.43</v>
      </c>
      <c r="X40" s="155">
        <f t="shared" si="64"/>
        <v>468350.43</v>
      </c>
      <c r="Y40" s="155">
        <f t="shared" si="64"/>
        <v>468350.43</v>
      </c>
      <c r="Z40" s="155">
        <f t="shared" si="64"/>
        <v>468350.43</v>
      </c>
      <c r="AA40" s="184">
        <f t="shared" si="36"/>
        <v>468350.43</v>
      </c>
      <c r="AB40" s="155">
        <f t="shared" ref="AB40:AM40" si="65">+AA40+SUMIF($B$282:$B$328,$A40,AB$282:AB$328)</f>
        <v>468350.43</v>
      </c>
      <c r="AC40" s="155">
        <f t="shared" si="65"/>
        <v>468350.43</v>
      </c>
      <c r="AD40" s="155">
        <f t="shared" si="65"/>
        <v>468350.43</v>
      </c>
      <c r="AE40" s="155">
        <f t="shared" si="65"/>
        <v>468350.43</v>
      </c>
      <c r="AF40" s="155">
        <f t="shared" si="65"/>
        <v>468350.43</v>
      </c>
      <c r="AG40" s="155">
        <f t="shared" si="65"/>
        <v>468350.43</v>
      </c>
      <c r="AH40" s="155">
        <f t="shared" si="65"/>
        <v>468350.43</v>
      </c>
      <c r="AI40" s="155">
        <f t="shared" si="65"/>
        <v>468350.43</v>
      </c>
      <c r="AJ40" s="155">
        <f t="shared" si="65"/>
        <v>468350.43</v>
      </c>
      <c r="AK40" s="155">
        <f t="shared" si="65"/>
        <v>468350.43</v>
      </c>
      <c r="AL40" s="155">
        <f t="shared" si="65"/>
        <v>468350.43</v>
      </c>
      <c r="AM40" s="155">
        <f t="shared" si="65"/>
        <v>468350.43</v>
      </c>
      <c r="AN40" s="184">
        <f t="shared" si="38"/>
        <v>468350.43</v>
      </c>
      <c r="AO40" s="155"/>
      <c r="AQ40" s="155">
        <f t="shared" si="31"/>
        <v>468350.43</v>
      </c>
      <c r="AR40" s="155">
        <f t="shared" si="32"/>
        <v>0</v>
      </c>
      <c r="AS40" s="155">
        <f t="shared" si="32"/>
        <v>0</v>
      </c>
      <c r="AT40" s="155">
        <f t="shared" si="32"/>
        <v>0</v>
      </c>
      <c r="AU40" s="155">
        <f t="shared" si="32"/>
        <v>0</v>
      </c>
      <c r="AV40" s="155">
        <f t="shared" si="32"/>
        <v>0</v>
      </c>
      <c r="AW40" s="155">
        <f t="shared" si="32"/>
        <v>0</v>
      </c>
      <c r="AX40" s="155">
        <f t="shared" si="32"/>
        <v>0</v>
      </c>
      <c r="AY40" s="155">
        <f t="shared" si="32"/>
        <v>0</v>
      </c>
      <c r="AZ40" s="155">
        <f t="shared" si="32"/>
        <v>0</v>
      </c>
      <c r="BA40" s="155">
        <f t="shared" si="32"/>
        <v>0</v>
      </c>
      <c r="BB40" s="155">
        <f t="shared" si="32"/>
        <v>0</v>
      </c>
      <c r="BC40" s="155">
        <f t="shared" si="32"/>
        <v>0</v>
      </c>
      <c r="BD40" s="155">
        <f t="shared" si="33"/>
        <v>468350.43</v>
      </c>
      <c r="BE40" s="155">
        <f t="shared" si="34"/>
        <v>468350.43</v>
      </c>
    </row>
    <row r="41" spans="1:57" x14ac:dyDescent="0.15">
      <c r="A41" s="39" t="s">
        <v>656</v>
      </c>
      <c r="G41" s="155">
        <v>-39311.29</v>
      </c>
      <c r="H41" s="155">
        <f t="shared" si="55"/>
        <v>-39311.29</v>
      </c>
      <c r="I41" s="155">
        <f t="shared" si="55"/>
        <v>-39311.29</v>
      </c>
      <c r="J41" s="155">
        <f t="shared" si="55"/>
        <v>-39311.29</v>
      </c>
      <c r="K41" s="155">
        <f t="shared" si="52"/>
        <v>-39311.29</v>
      </c>
      <c r="L41" s="155">
        <f t="shared" si="52"/>
        <v>-39311.29</v>
      </c>
      <c r="M41" s="155">
        <f t="shared" si="52"/>
        <v>-39311.29</v>
      </c>
      <c r="N41" s="184">
        <f t="shared" si="27"/>
        <v>-39311.29</v>
      </c>
      <c r="O41" s="155">
        <f t="shared" si="28"/>
        <v>-39311.29</v>
      </c>
      <c r="P41" s="155">
        <f t="shared" ref="P41:Z41" si="66">+O41+SUMIF($B$282:$B$328,$A41,P$282:P$328)</f>
        <v>-39311.29</v>
      </c>
      <c r="Q41" s="155">
        <f t="shared" si="66"/>
        <v>-39311.29</v>
      </c>
      <c r="R41" s="155">
        <f t="shared" si="66"/>
        <v>-39311.29</v>
      </c>
      <c r="S41" s="155">
        <f t="shared" si="66"/>
        <v>-39311.29</v>
      </c>
      <c r="T41" s="155">
        <f t="shared" si="66"/>
        <v>-39311.29</v>
      </c>
      <c r="U41" s="155">
        <f t="shared" si="66"/>
        <v>-39311.29</v>
      </c>
      <c r="V41" s="155">
        <f t="shared" si="66"/>
        <v>-39311.29</v>
      </c>
      <c r="W41" s="155">
        <f t="shared" si="66"/>
        <v>-39311.29</v>
      </c>
      <c r="X41" s="155">
        <f t="shared" si="66"/>
        <v>-39311.29</v>
      </c>
      <c r="Y41" s="155">
        <f t="shared" si="66"/>
        <v>-39311.29</v>
      </c>
      <c r="Z41" s="155">
        <f t="shared" si="66"/>
        <v>-39311.29</v>
      </c>
      <c r="AA41" s="184">
        <f>+Z41</f>
        <v>-39311.29</v>
      </c>
      <c r="AB41" s="155">
        <f t="shared" ref="AB41:AM41" si="67">+AA41+SUMIF($B$282:$B$328,$A41,AB$282:AB$328)</f>
        <v>-39311.29</v>
      </c>
      <c r="AC41" s="155">
        <f t="shared" si="67"/>
        <v>-39311.29</v>
      </c>
      <c r="AD41" s="155">
        <f t="shared" si="67"/>
        <v>-39311.29</v>
      </c>
      <c r="AE41" s="155">
        <f t="shared" si="67"/>
        <v>-39311.29</v>
      </c>
      <c r="AF41" s="155">
        <f t="shared" si="67"/>
        <v>-39311.29</v>
      </c>
      <c r="AG41" s="155">
        <f t="shared" si="67"/>
        <v>-39311.29</v>
      </c>
      <c r="AH41" s="155">
        <f t="shared" si="67"/>
        <v>-39311.29</v>
      </c>
      <c r="AI41" s="155">
        <f t="shared" si="67"/>
        <v>-39311.29</v>
      </c>
      <c r="AJ41" s="155">
        <f t="shared" si="67"/>
        <v>-39311.29</v>
      </c>
      <c r="AK41" s="155">
        <f t="shared" si="67"/>
        <v>-39311.29</v>
      </c>
      <c r="AL41" s="155">
        <f t="shared" si="67"/>
        <v>-39311.29</v>
      </c>
      <c r="AM41" s="155">
        <f t="shared" si="67"/>
        <v>-39311.29</v>
      </c>
      <c r="AN41" s="184">
        <f>+AM41</f>
        <v>-39311.29</v>
      </c>
      <c r="AO41" s="155"/>
      <c r="AQ41" s="155">
        <f t="shared" si="31"/>
        <v>-39311.29</v>
      </c>
      <c r="AR41" s="155">
        <f t="shared" si="32"/>
        <v>0</v>
      </c>
      <c r="AS41" s="155">
        <f t="shared" si="32"/>
        <v>0</v>
      </c>
      <c r="AT41" s="155">
        <f t="shared" si="32"/>
        <v>0</v>
      </c>
      <c r="AU41" s="155">
        <f t="shared" si="32"/>
        <v>0</v>
      </c>
      <c r="AV41" s="155">
        <f t="shared" si="32"/>
        <v>0</v>
      </c>
      <c r="AW41" s="155">
        <f t="shared" si="32"/>
        <v>0</v>
      </c>
      <c r="AX41" s="155">
        <f t="shared" si="32"/>
        <v>0</v>
      </c>
      <c r="AY41" s="155">
        <f t="shared" si="32"/>
        <v>0</v>
      </c>
      <c r="AZ41" s="155">
        <f t="shared" si="32"/>
        <v>0</v>
      </c>
      <c r="BA41" s="155">
        <f t="shared" si="32"/>
        <v>0</v>
      </c>
      <c r="BB41" s="155">
        <f t="shared" si="32"/>
        <v>0</v>
      </c>
      <c r="BC41" s="155">
        <f t="shared" si="32"/>
        <v>0</v>
      </c>
      <c r="BD41" s="155">
        <f t="shared" si="33"/>
        <v>-39311.29</v>
      </c>
      <c r="BE41" s="155">
        <f t="shared" si="34"/>
        <v>-39311.29</v>
      </c>
    </row>
    <row r="42" spans="1:57" x14ac:dyDescent="0.15">
      <c r="A42" s="39" t="s">
        <v>512</v>
      </c>
      <c r="G42" s="155">
        <v>-3007607.4199999981</v>
      </c>
      <c r="H42" s="155">
        <f t="shared" si="55"/>
        <v>-3007607.4199999981</v>
      </c>
      <c r="I42" s="155">
        <f t="shared" si="55"/>
        <v>-3007607.4199999981</v>
      </c>
      <c r="J42" s="155">
        <f t="shared" si="55"/>
        <v>-3583104.8086228059</v>
      </c>
      <c r="K42" s="155">
        <f t="shared" si="52"/>
        <v>-3583104.8086228059</v>
      </c>
      <c r="L42" s="155">
        <f t="shared" si="52"/>
        <v>-3583104.8086228059</v>
      </c>
      <c r="M42" s="155">
        <f t="shared" si="52"/>
        <v>-4158602.1972456137</v>
      </c>
      <c r="N42" s="184">
        <f t="shared" si="27"/>
        <v>-4158602.1972456137</v>
      </c>
      <c r="O42" s="155">
        <f t="shared" si="28"/>
        <v>-4158602.1972456137</v>
      </c>
      <c r="P42" s="155">
        <f t="shared" ref="P42:Z42" si="68">+O42+SUMIF($B$282:$B$328,$A42,P$282:P$328)</f>
        <v>-4158602.1972456137</v>
      </c>
      <c r="Q42" s="155">
        <f t="shared" si="68"/>
        <v>-5295150.4693800202</v>
      </c>
      <c r="R42" s="155">
        <f t="shared" si="68"/>
        <v>-5295150.4693800202</v>
      </c>
      <c r="S42" s="155">
        <f t="shared" si="68"/>
        <v>-5295150.4693800202</v>
      </c>
      <c r="T42" s="155">
        <f t="shared" si="68"/>
        <v>-6431698.7415144267</v>
      </c>
      <c r="U42" s="155">
        <f t="shared" si="68"/>
        <v>-6431698.7415144267</v>
      </c>
      <c r="V42" s="155">
        <f t="shared" si="68"/>
        <v>-6431698.7415144267</v>
      </c>
      <c r="W42" s="155">
        <f t="shared" si="68"/>
        <v>-7568247.0136488331</v>
      </c>
      <c r="X42" s="155">
        <f t="shared" si="68"/>
        <v>-7568247.0136488331</v>
      </c>
      <c r="Y42" s="155">
        <f t="shared" si="68"/>
        <v>-7568247.0136488331</v>
      </c>
      <c r="Z42" s="155">
        <f t="shared" si="68"/>
        <v>-8704795.2857832406</v>
      </c>
      <c r="AA42" s="184">
        <f>+Z42</f>
        <v>-8704795.2857832406</v>
      </c>
      <c r="AB42" s="155">
        <f t="shared" ref="AB42:AM42" si="69">+AA42+SUMIF($B$282:$B$328,$A42,AB$282:AB$328)</f>
        <v>-8704795.2857832406</v>
      </c>
      <c r="AC42" s="155">
        <f t="shared" si="69"/>
        <v>-8704795.2857832406</v>
      </c>
      <c r="AD42" s="155">
        <f t="shared" si="69"/>
        <v>-9728230.4405070487</v>
      </c>
      <c r="AE42" s="155">
        <f t="shared" si="69"/>
        <v>-9728230.4405070487</v>
      </c>
      <c r="AF42" s="155">
        <f t="shared" si="69"/>
        <v>-9728230.4405070487</v>
      </c>
      <c r="AG42" s="155">
        <f t="shared" si="69"/>
        <v>-10751665.595230857</v>
      </c>
      <c r="AH42" s="155">
        <f t="shared" si="69"/>
        <v>-10751665.595230857</v>
      </c>
      <c r="AI42" s="155">
        <f t="shared" si="69"/>
        <v>-10751665.595230857</v>
      </c>
      <c r="AJ42" s="155">
        <f t="shared" si="69"/>
        <v>-11775100.749954665</v>
      </c>
      <c r="AK42" s="155">
        <f t="shared" si="69"/>
        <v>-11775100.749954665</v>
      </c>
      <c r="AL42" s="155">
        <f t="shared" si="69"/>
        <v>-11775100.749954665</v>
      </c>
      <c r="AM42" s="155">
        <f t="shared" si="69"/>
        <v>-12798535.904678473</v>
      </c>
      <c r="AN42" s="184">
        <f>+AM42</f>
        <v>-12798535.904678473</v>
      </c>
      <c r="AO42" s="155"/>
      <c r="AQ42" s="155">
        <f t="shared" si="31"/>
        <v>-5295150.4693800202</v>
      </c>
      <c r="AR42" s="155">
        <f t="shared" si="32"/>
        <v>-339059.7694811768</v>
      </c>
      <c r="AS42" s="155">
        <f t="shared" si="32"/>
        <v>-307684.0893202321</v>
      </c>
      <c r="AT42" s="155">
        <f t="shared" si="32"/>
        <v>-277320.5278741566</v>
      </c>
      <c r="AU42" s="155">
        <f t="shared" si="32"/>
        <v>-245944.84771321187</v>
      </c>
      <c r="AV42" s="155">
        <f t="shared" si="32"/>
        <v>-215581.28626713634</v>
      </c>
      <c r="AW42" s="155">
        <f t="shared" si="32"/>
        <v>-184205.60610619158</v>
      </c>
      <c r="AX42" s="155">
        <f t="shared" si="32"/>
        <v>-152829.92594524688</v>
      </c>
      <c r="AY42" s="155">
        <f t="shared" si="32"/>
        <v>-124490.6019289097</v>
      </c>
      <c r="AZ42" s="155">
        <f t="shared" si="32"/>
        <v>-93114.921767964988</v>
      </c>
      <c r="BA42" s="155">
        <f t="shared" si="32"/>
        <v>-62751.360321889442</v>
      </c>
      <c r="BB42" s="155">
        <f t="shared" si="32"/>
        <v>-31375.680160944721</v>
      </c>
      <c r="BC42" s="155">
        <f t="shared" si="32"/>
        <v>-1012.1187148691846</v>
      </c>
      <c r="BD42" s="155">
        <f t="shared" si="33"/>
        <v>-9728230.4405070487</v>
      </c>
      <c r="BE42" s="155">
        <f t="shared" si="34"/>
        <v>-7330521.2049819492</v>
      </c>
    </row>
    <row r="43" spans="1:57" x14ac:dyDescent="0.15">
      <c r="A43" s="39" t="s">
        <v>47</v>
      </c>
      <c r="G43" s="155">
        <v>2029474.72</v>
      </c>
      <c r="H43" s="155">
        <f t="shared" si="55"/>
        <v>2029474.72</v>
      </c>
      <c r="I43" s="155">
        <f t="shared" si="55"/>
        <v>2029474.72</v>
      </c>
      <c r="J43" s="155">
        <f t="shared" si="55"/>
        <v>2635695.1499395757</v>
      </c>
      <c r="K43" s="155">
        <f t="shared" si="52"/>
        <v>2635695.1499395757</v>
      </c>
      <c r="L43" s="155">
        <f t="shared" si="52"/>
        <v>2635695.1499395757</v>
      </c>
      <c r="M43" s="155">
        <f t="shared" si="52"/>
        <v>3241915.5798791512</v>
      </c>
      <c r="N43" s="184">
        <f t="shared" si="27"/>
        <v>3241915.5798791512</v>
      </c>
      <c r="O43" s="155">
        <f t="shared" si="28"/>
        <v>3241915.5798791512</v>
      </c>
      <c r="P43" s="155">
        <f t="shared" ref="P43:Z43" si="70">+O43+SUMIF($B$282:$B$328,$A43,P$282:P$328)</f>
        <v>3241915.5798791512</v>
      </c>
      <c r="Q43" s="155">
        <f t="shared" si="70"/>
        <v>3869333.4687713627</v>
      </c>
      <c r="R43" s="155">
        <f t="shared" si="70"/>
        <v>3869333.4687713627</v>
      </c>
      <c r="S43" s="155">
        <f t="shared" si="70"/>
        <v>3869333.4687713627</v>
      </c>
      <c r="T43" s="155">
        <f t="shared" si="70"/>
        <v>4496751.3576635737</v>
      </c>
      <c r="U43" s="155">
        <f t="shared" si="70"/>
        <v>4496751.3576635737</v>
      </c>
      <c r="V43" s="155">
        <f t="shared" si="70"/>
        <v>4496751.3576635737</v>
      </c>
      <c r="W43" s="155">
        <f t="shared" si="70"/>
        <v>5124169.2465557847</v>
      </c>
      <c r="X43" s="155">
        <f t="shared" si="70"/>
        <v>5124169.2465557847</v>
      </c>
      <c r="Y43" s="155">
        <f t="shared" si="70"/>
        <v>5124169.2465557847</v>
      </c>
      <c r="Z43" s="155">
        <f t="shared" si="70"/>
        <v>5751587.1354479957</v>
      </c>
      <c r="AA43" s="184">
        <f t="shared" si="36"/>
        <v>5751587.1354479957</v>
      </c>
      <c r="AB43" s="155">
        <f t="shared" ref="AB43:AM43" si="71">+AA43+SUMIF($B$282:$B$328,$A43,AB$282:AB$328)</f>
        <v>5751587.1354479957</v>
      </c>
      <c r="AC43" s="155">
        <f t="shared" si="71"/>
        <v>5751587.1354479957</v>
      </c>
      <c r="AD43" s="155">
        <f t="shared" si="71"/>
        <v>6382268.5432313913</v>
      </c>
      <c r="AE43" s="155">
        <f t="shared" si="71"/>
        <v>6382268.5432313913</v>
      </c>
      <c r="AF43" s="155">
        <f t="shared" si="71"/>
        <v>6382268.5432313913</v>
      </c>
      <c r="AG43" s="155">
        <f t="shared" si="71"/>
        <v>7012949.951014787</v>
      </c>
      <c r="AH43" s="155">
        <f t="shared" si="71"/>
        <v>7012949.951014787</v>
      </c>
      <c r="AI43" s="155">
        <f t="shared" si="71"/>
        <v>7012949.951014787</v>
      </c>
      <c r="AJ43" s="155">
        <f t="shared" si="71"/>
        <v>7643631.3587981826</v>
      </c>
      <c r="AK43" s="155">
        <f t="shared" si="71"/>
        <v>7643631.3587981826</v>
      </c>
      <c r="AL43" s="155">
        <f t="shared" si="71"/>
        <v>7643631.3587981826</v>
      </c>
      <c r="AM43" s="155">
        <f t="shared" si="71"/>
        <v>8274312.7665815782</v>
      </c>
      <c r="AN43" s="184">
        <f t="shared" si="38"/>
        <v>8274312.7665815782</v>
      </c>
      <c r="AO43" s="155"/>
      <c r="AQ43" s="155">
        <f t="shared" si="31"/>
        <v>3869333.4687713627</v>
      </c>
      <c r="AR43" s="155">
        <f t="shared" si="32"/>
        <v>192199.37213335835</v>
      </c>
      <c r="AS43" s="155">
        <f t="shared" si="32"/>
        <v>174413.75859265955</v>
      </c>
      <c r="AT43" s="155">
        <f t="shared" si="32"/>
        <v>157201.8745210155</v>
      </c>
      <c r="AU43" s="155">
        <f t="shared" si="32"/>
        <v>139416.26098031667</v>
      </c>
      <c r="AV43" s="155">
        <f t="shared" si="32"/>
        <v>122204.37690867264</v>
      </c>
      <c r="AW43" s="155">
        <f t="shared" si="32"/>
        <v>104418.76336797381</v>
      </c>
      <c r="AX43" s="155">
        <f t="shared" si="32"/>
        <v>86633.149827274974</v>
      </c>
      <c r="AY43" s="155">
        <f t="shared" si="32"/>
        <v>70568.724693740529</v>
      </c>
      <c r="AZ43" s="155">
        <f t="shared" si="32"/>
        <v>52783.111153041704</v>
      </c>
      <c r="BA43" s="155">
        <f t="shared" si="32"/>
        <v>35571.227081397665</v>
      </c>
      <c r="BB43" s="155">
        <f t="shared" si="32"/>
        <v>17785.613540698832</v>
      </c>
      <c r="BC43" s="155">
        <f t="shared" si="32"/>
        <v>573.72946905480114</v>
      </c>
      <c r="BD43" s="155">
        <f t="shared" si="33"/>
        <v>6382268.5432313913</v>
      </c>
      <c r="BE43" s="155">
        <f t="shared" si="34"/>
        <v>5023103.4310405683</v>
      </c>
    </row>
    <row r="44" spans="1:57" x14ac:dyDescent="0.15">
      <c r="A44" s="39" t="s">
        <v>48</v>
      </c>
      <c r="G44" s="155">
        <v>128311.51</v>
      </c>
      <c r="H44" s="155">
        <f t="shared" si="55"/>
        <v>128311.51</v>
      </c>
      <c r="I44" s="155">
        <f t="shared" si="55"/>
        <v>128311.51</v>
      </c>
      <c r="J44" s="155">
        <f t="shared" si="55"/>
        <v>128311.51</v>
      </c>
      <c r="K44" s="155">
        <f t="shared" si="52"/>
        <v>128311.51</v>
      </c>
      <c r="L44" s="155">
        <f t="shared" si="52"/>
        <v>128311.51</v>
      </c>
      <c r="M44" s="155">
        <f t="shared" si="52"/>
        <v>128311.51</v>
      </c>
      <c r="N44" s="184">
        <f t="shared" si="27"/>
        <v>128311.51</v>
      </c>
      <c r="O44" s="155">
        <f t="shared" si="28"/>
        <v>128311.51</v>
      </c>
      <c r="P44" s="155">
        <f t="shared" ref="P44:Z44" si="72">+O44+SUMIF($B$282:$B$328,$A44,P$282:P$328)</f>
        <v>128311.51</v>
      </c>
      <c r="Q44" s="155">
        <f t="shared" si="72"/>
        <v>128311.51</v>
      </c>
      <c r="R44" s="155">
        <f t="shared" si="72"/>
        <v>128311.51</v>
      </c>
      <c r="S44" s="155">
        <f t="shared" si="72"/>
        <v>128311.51</v>
      </c>
      <c r="T44" s="155">
        <f t="shared" si="72"/>
        <v>128311.51</v>
      </c>
      <c r="U44" s="155">
        <f t="shared" si="72"/>
        <v>128311.51</v>
      </c>
      <c r="V44" s="155">
        <f t="shared" si="72"/>
        <v>128311.51</v>
      </c>
      <c r="W44" s="155">
        <f t="shared" si="72"/>
        <v>128311.51</v>
      </c>
      <c r="X44" s="155">
        <f t="shared" si="72"/>
        <v>128311.51</v>
      </c>
      <c r="Y44" s="155">
        <f t="shared" si="72"/>
        <v>128311.51</v>
      </c>
      <c r="Z44" s="155">
        <f t="shared" si="72"/>
        <v>128311.51</v>
      </c>
      <c r="AA44" s="184">
        <f t="shared" si="36"/>
        <v>128311.51</v>
      </c>
      <c r="AB44" s="155">
        <f t="shared" ref="AB44:AM44" si="73">+AA44+SUMIF($B$282:$B$328,$A44,AB$282:AB$328)</f>
        <v>128311.51</v>
      </c>
      <c r="AC44" s="155">
        <f t="shared" si="73"/>
        <v>128311.51</v>
      </c>
      <c r="AD44" s="155">
        <f t="shared" si="73"/>
        <v>128311.51</v>
      </c>
      <c r="AE44" s="155">
        <f t="shared" si="73"/>
        <v>128311.51</v>
      </c>
      <c r="AF44" s="155">
        <f t="shared" si="73"/>
        <v>128311.51</v>
      </c>
      <c r="AG44" s="155">
        <f t="shared" si="73"/>
        <v>128311.51</v>
      </c>
      <c r="AH44" s="155">
        <f t="shared" si="73"/>
        <v>128311.51</v>
      </c>
      <c r="AI44" s="155">
        <f t="shared" si="73"/>
        <v>128311.51</v>
      </c>
      <c r="AJ44" s="155">
        <f t="shared" si="73"/>
        <v>128311.51</v>
      </c>
      <c r="AK44" s="155">
        <f t="shared" si="73"/>
        <v>128311.51</v>
      </c>
      <c r="AL44" s="155">
        <f t="shared" si="73"/>
        <v>128311.51</v>
      </c>
      <c r="AM44" s="155">
        <f t="shared" si="73"/>
        <v>128311.51</v>
      </c>
      <c r="AN44" s="184">
        <f t="shared" si="38"/>
        <v>128311.51</v>
      </c>
      <c r="AO44" s="155"/>
      <c r="AQ44" s="155">
        <f t="shared" si="31"/>
        <v>128311.51</v>
      </c>
      <c r="AR44" s="155">
        <f t="shared" si="32"/>
        <v>0</v>
      </c>
      <c r="AS44" s="155">
        <f t="shared" si="32"/>
        <v>0</v>
      </c>
      <c r="AT44" s="155">
        <f t="shared" si="32"/>
        <v>0</v>
      </c>
      <c r="AU44" s="155">
        <f t="shared" si="32"/>
        <v>0</v>
      </c>
      <c r="AV44" s="155">
        <f t="shared" si="32"/>
        <v>0</v>
      </c>
      <c r="AW44" s="155">
        <f t="shared" si="32"/>
        <v>0</v>
      </c>
      <c r="AX44" s="155">
        <f t="shared" si="32"/>
        <v>0</v>
      </c>
      <c r="AY44" s="155">
        <f t="shared" si="32"/>
        <v>0</v>
      </c>
      <c r="AZ44" s="155">
        <f t="shared" si="32"/>
        <v>0</v>
      </c>
      <c r="BA44" s="155">
        <f t="shared" si="32"/>
        <v>0</v>
      </c>
      <c r="BB44" s="155">
        <f t="shared" si="32"/>
        <v>0</v>
      </c>
      <c r="BC44" s="155">
        <f t="shared" si="32"/>
        <v>0</v>
      </c>
      <c r="BD44" s="155">
        <f t="shared" si="33"/>
        <v>128311.51</v>
      </c>
      <c r="BE44" s="155">
        <f t="shared" si="34"/>
        <v>128311.51</v>
      </c>
    </row>
    <row r="45" spans="1:57" x14ac:dyDescent="0.15">
      <c r="A45" s="39" t="s">
        <v>49</v>
      </c>
      <c r="G45" s="155">
        <v>-38540.26</v>
      </c>
      <c r="H45" s="155">
        <f t="shared" si="55"/>
        <v>-38540.26</v>
      </c>
      <c r="I45" s="155">
        <f t="shared" si="55"/>
        <v>-38540.26</v>
      </c>
      <c r="J45" s="155">
        <f t="shared" si="55"/>
        <v>-38540.26</v>
      </c>
      <c r="K45" s="155">
        <f t="shared" si="52"/>
        <v>-38540.26</v>
      </c>
      <c r="L45" s="155">
        <f t="shared" si="52"/>
        <v>-38540.26</v>
      </c>
      <c r="M45" s="155">
        <f t="shared" si="52"/>
        <v>-38540.26</v>
      </c>
      <c r="N45" s="184">
        <f t="shared" si="27"/>
        <v>-38540.26</v>
      </c>
      <c r="O45" s="155">
        <f t="shared" si="28"/>
        <v>-38540.26</v>
      </c>
      <c r="P45" s="155">
        <f t="shared" ref="P45:Z45" si="74">+O45+SUMIF($B$282:$B$328,$A45,P$282:P$328)</f>
        <v>-38540.26</v>
      </c>
      <c r="Q45" s="155">
        <f t="shared" si="74"/>
        <v>-32454.955000000005</v>
      </c>
      <c r="R45" s="155">
        <f t="shared" si="74"/>
        <v>-32454.955000000005</v>
      </c>
      <c r="S45" s="155">
        <f t="shared" si="74"/>
        <v>-32454.955000000005</v>
      </c>
      <c r="T45" s="155">
        <f t="shared" si="74"/>
        <v>-26369.650000000009</v>
      </c>
      <c r="U45" s="155">
        <f t="shared" si="74"/>
        <v>-26369.650000000009</v>
      </c>
      <c r="V45" s="155">
        <f t="shared" si="74"/>
        <v>-26369.650000000009</v>
      </c>
      <c r="W45" s="155">
        <f t="shared" si="74"/>
        <v>-20284.345000000012</v>
      </c>
      <c r="X45" s="155">
        <f t="shared" si="74"/>
        <v>-20284.345000000012</v>
      </c>
      <c r="Y45" s="155">
        <f t="shared" si="74"/>
        <v>-20284.345000000012</v>
      </c>
      <c r="Z45" s="155">
        <f t="shared" si="74"/>
        <v>-14199.040000000015</v>
      </c>
      <c r="AA45" s="184">
        <f t="shared" si="36"/>
        <v>-14199.040000000015</v>
      </c>
      <c r="AB45" s="155">
        <f t="shared" ref="AB45:AM45" si="75">+AA45+SUMIF($B$282:$B$328,$A45,AB$282:AB$328)</f>
        <v>-14199.040000000015</v>
      </c>
      <c r="AC45" s="155">
        <f t="shared" si="75"/>
        <v>-14199.040000000015</v>
      </c>
      <c r="AD45" s="155">
        <f t="shared" si="75"/>
        <v>-10649.278750000016</v>
      </c>
      <c r="AE45" s="155">
        <f t="shared" si="75"/>
        <v>-10649.278750000016</v>
      </c>
      <c r="AF45" s="155">
        <f t="shared" si="75"/>
        <v>-10649.278750000016</v>
      </c>
      <c r="AG45" s="155">
        <f t="shared" si="75"/>
        <v>-7099.5175000000154</v>
      </c>
      <c r="AH45" s="155">
        <f t="shared" si="75"/>
        <v>-7099.5175000000154</v>
      </c>
      <c r="AI45" s="155">
        <f t="shared" si="75"/>
        <v>-7099.5175000000154</v>
      </c>
      <c r="AJ45" s="155">
        <f t="shared" si="75"/>
        <v>-3549.7562500000149</v>
      </c>
      <c r="AK45" s="155">
        <f t="shared" si="75"/>
        <v>-3549.7562500000149</v>
      </c>
      <c r="AL45" s="155">
        <f t="shared" si="75"/>
        <v>-3549.7562500000149</v>
      </c>
      <c r="AM45" s="155">
        <f t="shared" si="75"/>
        <v>4.9999999855572241E-3</v>
      </c>
      <c r="AN45" s="184">
        <f t="shared" si="38"/>
        <v>4.9999999855572241E-3</v>
      </c>
      <c r="AO45" s="155"/>
      <c r="AQ45" s="155">
        <f t="shared" si="31"/>
        <v>-32454.955000000005</v>
      </c>
      <c r="AR45" s="155">
        <f t="shared" si="32"/>
        <v>1667.785740582191</v>
      </c>
      <c r="AS45" s="155">
        <f t="shared" si="32"/>
        <v>1513.4533287671227</v>
      </c>
      <c r="AT45" s="155">
        <f t="shared" si="32"/>
        <v>1364.0993818493146</v>
      </c>
      <c r="AU45" s="155">
        <f t="shared" si="32"/>
        <v>1209.766970034246</v>
      </c>
      <c r="AV45" s="155">
        <f t="shared" si="32"/>
        <v>1060.4130231164379</v>
      </c>
      <c r="AW45" s="155">
        <f t="shared" si="32"/>
        <v>906.08061130136946</v>
      </c>
      <c r="AX45" s="155">
        <f t="shared" si="32"/>
        <v>751.74819948630102</v>
      </c>
      <c r="AY45" s="155">
        <f t="shared" si="32"/>
        <v>612.35118236301344</v>
      </c>
      <c r="AZ45" s="155">
        <f t="shared" si="32"/>
        <v>458.018770547945</v>
      </c>
      <c r="BA45" s="155">
        <f t="shared" si="32"/>
        <v>308.66482363013682</v>
      </c>
      <c r="BB45" s="155">
        <f t="shared" si="32"/>
        <v>154.33241181506841</v>
      </c>
      <c r="BC45" s="155">
        <f t="shared" si="32"/>
        <v>4.9784648972602712</v>
      </c>
      <c r="BD45" s="155">
        <f t="shared" si="33"/>
        <v>-10649.278750000016</v>
      </c>
      <c r="BE45" s="155">
        <f t="shared" si="34"/>
        <v>-22443.262091609602</v>
      </c>
    </row>
    <row r="46" spans="1:57" x14ac:dyDescent="0.15">
      <c r="A46" s="39" t="s">
        <v>50</v>
      </c>
      <c r="G46" s="155">
        <v>441546.9</v>
      </c>
      <c r="H46" s="155">
        <f t="shared" si="55"/>
        <v>441546.9</v>
      </c>
      <c r="I46" s="155">
        <f t="shared" si="55"/>
        <v>441546.9</v>
      </c>
      <c r="J46" s="155">
        <f t="shared" si="55"/>
        <v>441546.9</v>
      </c>
      <c r="K46" s="155">
        <f t="shared" si="52"/>
        <v>441546.9</v>
      </c>
      <c r="L46" s="155">
        <f t="shared" si="52"/>
        <v>441546.9</v>
      </c>
      <c r="M46" s="155">
        <f t="shared" si="52"/>
        <v>441546.9</v>
      </c>
      <c r="N46" s="184">
        <f t="shared" si="27"/>
        <v>441546.9</v>
      </c>
      <c r="O46" s="155">
        <f t="shared" si="28"/>
        <v>441546.9</v>
      </c>
      <c r="P46" s="155">
        <f t="shared" ref="P46:Z46" si="76">+O46+SUMIF($B$282:$B$328,$A46,P$282:P$328)</f>
        <v>441546.9</v>
      </c>
      <c r="Q46" s="155">
        <f t="shared" si="76"/>
        <v>441546.9</v>
      </c>
      <c r="R46" s="155">
        <f t="shared" si="76"/>
        <v>441546.9</v>
      </c>
      <c r="S46" s="155">
        <f t="shared" si="76"/>
        <v>441546.9</v>
      </c>
      <c r="T46" s="155">
        <f t="shared" si="76"/>
        <v>441546.9</v>
      </c>
      <c r="U46" s="155">
        <f t="shared" si="76"/>
        <v>441546.9</v>
      </c>
      <c r="V46" s="155">
        <f t="shared" si="76"/>
        <v>441546.9</v>
      </c>
      <c r="W46" s="155">
        <f t="shared" si="76"/>
        <v>441546.9</v>
      </c>
      <c r="X46" s="155">
        <f t="shared" si="76"/>
        <v>441546.9</v>
      </c>
      <c r="Y46" s="155">
        <f t="shared" si="76"/>
        <v>441546.9</v>
      </c>
      <c r="Z46" s="155">
        <f t="shared" si="76"/>
        <v>441546.9</v>
      </c>
      <c r="AA46" s="184">
        <f t="shared" si="36"/>
        <v>441546.9</v>
      </c>
      <c r="AB46" s="155">
        <f t="shared" ref="AB46:AM46" si="77">+AA46+SUMIF($B$282:$B$328,$A46,AB$282:AB$328)</f>
        <v>441546.9</v>
      </c>
      <c r="AC46" s="155">
        <f t="shared" si="77"/>
        <v>441546.9</v>
      </c>
      <c r="AD46" s="155">
        <f t="shared" si="77"/>
        <v>441546.9</v>
      </c>
      <c r="AE46" s="155">
        <f t="shared" si="77"/>
        <v>441546.9</v>
      </c>
      <c r="AF46" s="155">
        <f t="shared" si="77"/>
        <v>441546.9</v>
      </c>
      <c r="AG46" s="155">
        <f t="shared" si="77"/>
        <v>441546.9</v>
      </c>
      <c r="AH46" s="155">
        <f t="shared" si="77"/>
        <v>441546.9</v>
      </c>
      <c r="AI46" s="155">
        <f t="shared" si="77"/>
        <v>441546.9</v>
      </c>
      <c r="AJ46" s="155">
        <f t="shared" si="77"/>
        <v>441546.9</v>
      </c>
      <c r="AK46" s="155">
        <f t="shared" si="77"/>
        <v>441546.9</v>
      </c>
      <c r="AL46" s="155">
        <f t="shared" si="77"/>
        <v>441546.9</v>
      </c>
      <c r="AM46" s="155">
        <f t="shared" si="77"/>
        <v>441546.9</v>
      </c>
      <c r="AN46" s="184">
        <f t="shared" si="38"/>
        <v>441546.9</v>
      </c>
      <c r="AO46" s="155"/>
      <c r="AQ46" s="155">
        <f t="shared" si="31"/>
        <v>441546.9</v>
      </c>
      <c r="AR46" s="155">
        <f t="shared" si="32"/>
        <v>0</v>
      </c>
      <c r="AS46" s="155">
        <f t="shared" si="32"/>
        <v>0</v>
      </c>
      <c r="AT46" s="155">
        <f t="shared" si="32"/>
        <v>0</v>
      </c>
      <c r="AU46" s="155">
        <f t="shared" si="32"/>
        <v>0</v>
      </c>
      <c r="AV46" s="155">
        <f t="shared" si="32"/>
        <v>0</v>
      </c>
      <c r="AW46" s="155">
        <f t="shared" si="32"/>
        <v>0</v>
      </c>
      <c r="AX46" s="155">
        <f t="shared" si="32"/>
        <v>0</v>
      </c>
      <c r="AY46" s="155">
        <f t="shared" si="32"/>
        <v>0</v>
      </c>
      <c r="AZ46" s="155">
        <f t="shared" si="32"/>
        <v>0</v>
      </c>
      <c r="BA46" s="155">
        <f t="shared" si="32"/>
        <v>0</v>
      </c>
      <c r="BB46" s="155">
        <f t="shared" si="32"/>
        <v>0</v>
      </c>
      <c r="BC46" s="155">
        <f t="shared" si="32"/>
        <v>0</v>
      </c>
      <c r="BD46" s="155">
        <f t="shared" si="33"/>
        <v>441546.9</v>
      </c>
      <c r="BE46" s="155">
        <f t="shared" si="34"/>
        <v>441546.9</v>
      </c>
    </row>
    <row r="47" spans="1:57" x14ac:dyDescent="0.15">
      <c r="A47" s="39" t="s">
        <v>266</v>
      </c>
      <c r="G47" s="155">
        <v>0</v>
      </c>
      <c r="H47" s="155">
        <f t="shared" si="55"/>
        <v>0</v>
      </c>
      <c r="I47" s="155">
        <f t="shared" si="55"/>
        <v>0</v>
      </c>
      <c r="J47" s="155">
        <f t="shared" si="55"/>
        <v>0</v>
      </c>
      <c r="K47" s="155">
        <f t="shared" si="52"/>
        <v>0</v>
      </c>
      <c r="L47" s="155">
        <f t="shared" si="52"/>
        <v>0</v>
      </c>
      <c r="M47" s="155">
        <f t="shared" si="52"/>
        <v>0</v>
      </c>
      <c r="N47" s="184">
        <f t="shared" si="27"/>
        <v>0</v>
      </c>
      <c r="O47" s="155">
        <f t="shared" si="28"/>
        <v>0</v>
      </c>
      <c r="P47" s="155">
        <f t="shared" ref="P47:Z47" si="78">+O47+SUMIF($B$282:$B$328,$A47,P$282:P$328)</f>
        <v>0</v>
      </c>
      <c r="Q47" s="155">
        <f t="shared" si="78"/>
        <v>0</v>
      </c>
      <c r="R47" s="155">
        <f t="shared" si="78"/>
        <v>0</v>
      </c>
      <c r="S47" s="155">
        <f t="shared" si="78"/>
        <v>0</v>
      </c>
      <c r="T47" s="155">
        <f t="shared" si="78"/>
        <v>0</v>
      </c>
      <c r="U47" s="155">
        <f t="shared" si="78"/>
        <v>0</v>
      </c>
      <c r="V47" s="155">
        <f t="shared" si="78"/>
        <v>0</v>
      </c>
      <c r="W47" s="155">
        <f t="shared" si="78"/>
        <v>0</v>
      </c>
      <c r="X47" s="155">
        <f t="shared" si="78"/>
        <v>0</v>
      </c>
      <c r="Y47" s="155">
        <f t="shared" si="78"/>
        <v>0</v>
      </c>
      <c r="Z47" s="155">
        <f t="shared" si="78"/>
        <v>0</v>
      </c>
      <c r="AA47" s="184">
        <f t="shared" si="36"/>
        <v>0</v>
      </c>
      <c r="AB47" s="155">
        <f t="shared" ref="AB47:AM47" si="79">+AA47+SUMIF($B$282:$B$328,$A47,AB$282:AB$328)</f>
        <v>0</v>
      </c>
      <c r="AC47" s="155">
        <f t="shared" si="79"/>
        <v>0</v>
      </c>
      <c r="AD47" s="155">
        <f t="shared" si="79"/>
        <v>0</v>
      </c>
      <c r="AE47" s="155">
        <f t="shared" si="79"/>
        <v>0</v>
      </c>
      <c r="AF47" s="155">
        <f t="shared" si="79"/>
        <v>0</v>
      </c>
      <c r="AG47" s="155">
        <f t="shared" si="79"/>
        <v>0</v>
      </c>
      <c r="AH47" s="155">
        <f t="shared" si="79"/>
        <v>0</v>
      </c>
      <c r="AI47" s="155">
        <f t="shared" si="79"/>
        <v>0</v>
      </c>
      <c r="AJ47" s="155">
        <f t="shared" si="79"/>
        <v>0</v>
      </c>
      <c r="AK47" s="155">
        <f t="shared" si="79"/>
        <v>0</v>
      </c>
      <c r="AL47" s="155">
        <f t="shared" si="79"/>
        <v>0</v>
      </c>
      <c r="AM47" s="155">
        <f t="shared" si="79"/>
        <v>0</v>
      </c>
      <c r="AN47" s="184">
        <f t="shared" si="38"/>
        <v>0</v>
      </c>
      <c r="AO47" s="155"/>
      <c r="AQ47" s="155">
        <f t="shared" si="31"/>
        <v>0</v>
      </c>
      <c r="AR47" s="155">
        <f t="shared" si="32"/>
        <v>0</v>
      </c>
      <c r="AS47" s="155">
        <f t="shared" si="32"/>
        <v>0</v>
      </c>
      <c r="AT47" s="155">
        <f t="shared" si="32"/>
        <v>0</v>
      </c>
      <c r="AU47" s="155">
        <f t="shared" si="32"/>
        <v>0</v>
      </c>
      <c r="AV47" s="155">
        <f t="shared" si="32"/>
        <v>0</v>
      </c>
      <c r="AW47" s="155">
        <f t="shared" si="32"/>
        <v>0</v>
      </c>
      <c r="AX47" s="155">
        <f t="shared" si="32"/>
        <v>0</v>
      </c>
      <c r="AY47" s="155">
        <f t="shared" si="32"/>
        <v>0</v>
      </c>
      <c r="AZ47" s="155">
        <f t="shared" si="32"/>
        <v>0</v>
      </c>
      <c r="BA47" s="155">
        <f t="shared" si="32"/>
        <v>0</v>
      </c>
      <c r="BB47" s="155">
        <f t="shared" si="32"/>
        <v>0</v>
      </c>
      <c r="BC47" s="155">
        <f t="shared" si="32"/>
        <v>0</v>
      </c>
      <c r="BD47" s="155">
        <f t="shared" si="33"/>
        <v>0</v>
      </c>
      <c r="BE47" s="155">
        <f t="shared" si="34"/>
        <v>0</v>
      </c>
    </row>
    <row r="48" spans="1:57" x14ac:dyDescent="0.15">
      <c r="A48" s="39" t="s">
        <v>51</v>
      </c>
      <c r="G48" s="155">
        <v>-7785963.0199999996</v>
      </c>
      <c r="H48" s="155">
        <f t="shared" si="55"/>
        <v>-7785963.0199999996</v>
      </c>
      <c r="I48" s="155">
        <f t="shared" si="55"/>
        <v>-7785963.0199999996</v>
      </c>
      <c r="J48" s="155">
        <f t="shared" si="55"/>
        <v>-9547526.6005251221</v>
      </c>
      <c r="K48" s="155">
        <f t="shared" si="52"/>
        <v>-9547526.6005251221</v>
      </c>
      <c r="L48" s="155">
        <f t="shared" si="52"/>
        <v>-9547526.6005251221</v>
      </c>
      <c r="M48" s="155">
        <f t="shared" si="52"/>
        <v>-11309090.181050245</v>
      </c>
      <c r="N48" s="184">
        <f t="shared" si="27"/>
        <v>-11309090.181050245</v>
      </c>
      <c r="O48" s="155">
        <f t="shared" si="28"/>
        <v>-11309090.181050245</v>
      </c>
      <c r="P48" s="155">
        <f t="shared" ref="P48:Z48" si="80">+O48+SUMIF($B$282:$B$328,$A48,P$282:P$328)</f>
        <v>-11309090.181050245</v>
      </c>
      <c r="Q48" s="155">
        <f t="shared" si="80"/>
        <v>-13299601.570116013</v>
      </c>
      <c r="R48" s="155">
        <f t="shared" si="80"/>
        <v>-13299601.570116013</v>
      </c>
      <c r="S48" s="155">
        <f t="shared" si="80"/>
        <v>-13299601.570116013</v>
      </c>
      <c r="T48" s="155">
        <f t="shared" si="80"/>
        <v>-15290112.959181782</v>
      </c>
      <c r="U48" s="155">
        <f t="shared" si="80"/>
        <v>-15290112.959181782</v>
      </c>
      <c r="V48" s="155">
        <f t="shared" si="80"/>
        <v>-15290112.959181782</v>
      </c>
      <c r="W48" s="155">
        <f t="shared" si="80"/>
        <v>-17280624.34824755</v>
      </c>
      <c r="X48" s="155">
        <f t="shared" si="80"/>
        <v>-17280624.34824755</v>
      </c>
      <c r="Y48" s="155">
        <f t="shared" si="80"/>
        <v>-17280624.34824755</v>
      </c>
      <c r="Z48" s="155">
        <f t="shared" si="80"/>
        <v>-19271135.737313319</v>
      </c>
      <c r="AA48" s="184">
        <f t="shared" si="36"/>
        <v>-19271135.737313319</v>
      </c>
      <c r="AB48" s="155">
        <f t="shared" ref="AB48:AM48" si="81">+AA48+SUMIF($B$282:$B$328,$A48,AB$282:AB$328)</f>
        <v>-19271135.737313319</v>
      </c>
      <c r="AC48" s="155">
        <f t="shared" si="81"/>
        <v>-19271135.737313319</v>
      </c>
      <c r="AD48" s="155">
        <f t="shared" si="81"/>
        <v>-20603369.706350744</v>
      </c>
      <c r="AE48" s="155">
        <f t="shared" si="81"/>
        <v>-20603369.706350744</v>
      </c>
      <c r="AF48" s="155">
        <f t="shared" si="81"/>
        <v>-20603369.706350744</v>
      </c>
      <c r="AG48" s="155">
        <f t="shared" si="81"/>
        <v>-21935603.675388169</v>
      </c>
      <c r="AH48" s="155">
        <f t="shared" si="81"/>
        <v>-21935603.675388169</v>
      </c>
      <c r="AI48" s="155">
        <f t="shared" si="81"/>
        <v>-21935603.675388169</v>
      </c>
      <c r="AJ48" s="155">
        <f t="shared" si="81"/>
        <v>-23267837.644425593</v>
      </c>
      <c r="AK48" s="155">
        <f t="shared" si="81"/>
        <v>-23267837.644425593</v>
      </c>
      <c r="AL48" s="155">
        <f t="shared" si="81"/>
        <v>-23267837.644425593</v>
      </c>
      <c r="AM48" s="155">
        <f t="shared" si="81"/>
        <v>-24600071.613463018</v>
      </c>
      <c r="AN48" s="184">
        <f t="shared" si="38"/>
        <v>-24600071.613463018</v>
      </c>
      <c r="AO48" s="155"/>
      <c r="AQ48" s="155">
        <f t="shared" si="31"/>
        <v>-13299601.570116013</v>
      </c>
      <c r="AR48" s="155">
        <f t="shared" si="32"/>
        <v>-558621.53553393483</v>
      </c>
      <c r="AS48" s="155">
        <f t="shared" si="32"/>
        <v>-506928.19940989907</v>
      </c>
      <c r="AT48" s="155">
        <f t="shared" si="32"/>
        <v>-456902.3902576064</v>
      </c>
      <c r="AU48" s="155">
        <f t="shared" ref="AU48:BC57" si="82">($BD48-$AQ48)/12*AU$6</f>
        <v>-405209.05413357064</v>
      </c>
      <c r="AV48" s="155">
        <f t="shared" si="82"/>
        <v>-355183.24498127797</v>
      </c>
      <c r="AW48" s="155">
        <f t="shared" si="82"/>
        <v>-303489.9088572422</v>
      </c>
      <c r="AX48" s="155">
        <f t="shared" si="82"/>
        <v>-251796.57273320647</v>
      </c>
      <c r="AY48" s="155">
        <f t="shared" si="82"/>
        <v>-205105.81752439996</v>
      </c>
      <c r="AZ48" s="155">
        <f t="shared" si="82"/>
        <v>-153412.48140036419</v>
      </c>
      <c r="BA48" s="155">
        <f t="shared" si="82"/>
        <v>-103386.67224807153</v>
      </c>
      <c r="BB48" s="155">
        <f t="shared" si="82"/>
        <v>-51693.336124035763</v>
      </c>
      <c r="BC48" s="155">
        <f t="shared" si="82"/>
        <v>-1667.526971743089</v>
      </c>
      <c r="BD48" s="155">
        <f t="shared" si="33"/>
        <v>-20603369.706350744</v>
      </c>
      <c r="BE48" s="155">
        <f t="shared" si="34"/>
        <v>-16652998.310291363</v>
      </c>
    </row>
    <row r="49" spans="1:57" x14ac:dyDescent="0.15">
      <c r="A49" s="39" t="s">
        <v>52</v>
      </c>
      <c r="G49" s="155">
        <v>0</v>
      </c>
      <c r="H49" s="155">
        <f t="shared" si="55"/>
        <v>0</v>
      </c>
      <c r="I49" s="155">
        <f t="shared" si="55"/>
        <v>0</v>
      </c>
      <c r="J49" s="155">
        <f t="shared" si="55"/>
        <v>0</v>
      </c>
      <c r="K49" s="155">
        <f t="shared" si="52"/>
        <v>0</v>
      </c>
      <c r="L49" s="155">
        <f t="shared" si="52"/>
        <v>0</v>
      </c>
      <c r="M49" s="155">
        <f t="shared" si="52"/>
        <v>0</v>
      </c>
      <c r="N49" s="184">
        <f t="shared" si="27"/>
        <v>0</v>
      </c>
      <c r="O49" s="155">
        <f t="shared" si="28"/>
        <v>0</v>
      </c>
      <c r="P49" s="155">
        <f t="shared" ref="P49:Z49" si="83">+O49+SUMIF($B$282:$B$328,$A49,P$282:P$328)</f>
        <v>0</v>
      </c>
      <c r="Q49" s="155">
        <f t="shared" si="83"/>
        <v>0</v>
      </c>
      <c r="R49" s="155">
        <f t="shared" si="83"/>
        <v>0</v>
      </c>
      <c r="S49" s="155">
        <f t="shared" si="83"/>
        <v>0</v>
      </c>
      <c r="T49" s="155">
        <f t="shared" si="83"/>
        <v>0</v>
      </c>
      <c r="U49" s="155">
        <f t="shared" si="83"/>
        <v>0</v>
      </c>
      <c r="V49" s="155">
        <f t="shared" si="83"/>
        <v>0</v>
      </c>
      <c r="W49" s="155">
        <f t="shared" si="83"/>
        <v>0</v>
      </c>
      <c r="X49" s="155">
        <f t="shared" si="83"/>
        <v>0</v>
      </c>
      <c r="Y49" s="155">
        <f t="shared" si="83"/>
        <v>0</v>
      </c>
      <c r="Z49" s="155">
        <f t="shared" si="83"/>
        <v>0</v>
      </c>
      <c r="AA49" s="184">
        <f t="shared" si="36"/>
        <v>0</v>
      </c>
      <c r="AB49" s="155">
        <f t="shared" ref="AB49:AM49" si="84">+AA49+SUMIF($B$282:$B$328,$A49,AB$282:AB$328)</f>
        <v>0</v>
      </c>
      <c r="AC49" s="155">
        <f t="shared" si="84"/>
        <v>0</v>
      </c>
      <c r="AD49" s="155">
        <f t="shared" si="84"/>
        <v>0</v>
      </c>
      <c r="AE49" s="155">
        <f t="shared" si="84"/>
        <v>0</v>
      </c>
      <c r="AF49" s="155">
        <f t="shared" si="84"/>
        <v>0</v>
      </c>
      <c r="AG49" s="155">
        <f t="shared" si="84"/>
        <v>0</v>
      </c>
      <c r="AH49" s="155">
        <f t="shared" si="84"/>
        <v>0</v>
      </c>
      <c r="AI49" s="155">
        <f t="shared" si="84"/>
        <v>0</v>
      </c>
      <c r="AJ49" s="155">
        <f t="shared" si="84"/>
        <v>0</v>
      </c>
      <c r="AK49" s="155">
        <f t="shared" si="84"/>
        <v>0</v>
      </c>
      <c r="AL49" s="155">
        <f t="shared" si="84"/>
        <v>0</v>
      </c>
      <c r="AM49" s="155">
        <f t="shared" si="84"/>
        <v>0</v>
      </c>
      <c r="AN49" s="184">
        <f t="shared" si="38"/>
        <v>0</v>
      </c>
      <c r="AO49" s="155"/>
      <c r="AQ49" s="155">
        <f t="shared" si="31"/>
        <v>0</v>
      </c>
      <c r="AR49" s="155">
        <f t="shared" ref="AR49:AR99" si="85">($BD49-$AQ49)/12*AR$6</f>
        <v>0</v>
      </c>
      <c r="AS49" s="155">
        <f t="shared" ref="AS49:AT71" si="86">($BD49-$AQ49)/12*AS$6</f>
        <v>0</v>
      </c>
      <c r="AT49" s="155">
        <f t="shared" si="86"/>
        <v>0</v>
      </c>
      <c r="AU49" s="155">
        <f t="shared" si="82"/>
        <v>0</v>
      </c>
      <c r="AV49" s="155">
        <f t="shared" si="82"/>
        <v>0</v>
      </c>
      <c r="AW49" s="155">
        <f t="shared" si="82"/>
        <v>0</v>
      </c>
      <c r="AX49" s="155">
        <f t="shared" si="82"/>
        <v>0</v>
      </c>
      <c r="AY49" s="155">
        <f t="shared" si="82"/>
        <v>0</v>
      </c>
      <c r="AZ49" s="155">
        <f t="shared" si="82"/>
        <v>0</v>
      </c>
      <c r="BA49" s="155">
        <f t="shared" si="82"/>
        <v>0</v>
      </c>
      <c r="BB49" s="155">
        <f t="shared" si="82"/>
        <v>0</v>
      </c>
      <c r="BC49" s="155">
        <f t="shared" si="82"/>
        <v>0</v>
      </c>
      <c r="BD49" s="155">
        <f t="shared" si="33"/>
        <v>0</v>
      </c>
      <c r="BE49" s="155">
        <f t="shared" si="34"/>
        <v>0</v>
      </c>
    </row>
    <row r="50" spans="1:57" x14ac:dyDescent="0.15">
      <c r="A50" s="39" t="s">
        <v>53</v>
      </c>
      <c r="G50" s="155">
        <v>16488.91</v>
      </c>
      <c r="H50" s="155">
        <f t="shared" si="55"/>
        <v>16488.91</v>
      </c>
      <c r="I50" s="155">
        <f t="shared" si="55"/>
        <v>16488.91</v>
      </c>
      <c r="J50" s="155">
        <f t="shared" si="55"/>
        <v>18908.617499274998</v>
      </c>
      <c r="K50" s="155">
        <f t="shared" si="52"/>
        <v>18908.617499274998</v>
      </c>
      <c r="L50" s="155">
        <f t="shared" si="52"/>
        <v>18908.617499274998</v>
      </c>
      <c r="M50" s="155">
        <f t="shared" si="52"/>
        <v>21328.324998549997</v>
      </c>
      <c r="N50" s="184">
        <f t="shared" si="27"/>
        <v>21328.324998549997</v>
      </c>
      <c r="O50" s="155">
        <f t="shared" si="28"/>
        <v>21328.324998549997</v>
      </c>
      <c r="P50" s="155">
        <f t="shared" ref="P50:Z50" si="87">+O50+SUMIF($B$282:$B$328,$A50,P$282:P$328)</f>
        <v>21328.324998549997</v>
      </c>
      <c r="Q50" s="155">
        <f t="shared" si="87"/>
        <v>18179.352115449998</v>
      </c>
      <c r="R50" s="155">
        <f t="shared" si="87"/>
        <v>18179.352115449998</v>
      </c>
      <c r="S50" s="155">
        <f t="shared" si="87"/>
        <v>18179.352115449998</v>
      </c>
      <c r="T50" s="155">
        <f t="shared" si="87"/>
        <v>15030.379232349998</v>
      </c>
      <c r="U50" s="155">
        <f t="shared" si="87"/>
        <v>15030.379232349998</v>
      </c>
      <c r="V50" s="155">
        <f t="shared" si="87"/>
        <v>15030.379232349998</v>
      </c>
      <c r="W50" s="155">
        <f t="shared" si="87"/>
        <v>11881.406349249999</v>
      </c>
      <c r="X50" s="155">
        <f t="shared" si="87"/>
        <v>11881.406349249999</v>
      </c>
      <c r="Y50" s="155">
        <f t="shared" si="87"/>
        <v>11881.406349249999</v>
      </c>
      <c r="Z50" s="155">
        <f t="shared" si="87"/>
        <v>8732.4334661499997</v>
      </c>
      <c r="AA50" s="184">
        <f t="shared" si="36"/>
        <v>8732.4334661499997</v>
      </c>
      <c r="AB50" s="155">
        <f t="shared" ref="AB50:AM50" si="88">+AA50+SUMIF($B$282:$B$328,$A50,AB$282:AB$328)</f>
        <v>8732.4334661499997</v>
      </c>
      <c r="AC50" s="155">
        <f t="shared" si="88"/>
        <v>8732.4334661499997</v>
      </c>
      <c r="AD50" s="155">
        <f t="shared" si="88"/>
        <v>8732.4334661499997</v>
      </c>
      <c r="AE50" s="155">
        <f t="shared" si="88"/>
        <v>8732.4334661499997</v>
      </c>
      <c r="AF50" s="155">
        <f t="shared" si="88"/>
        <v>8732.4334661499997</v>
      </c>
      <c r="AG50" s="155">
        <f t="shared" si="88"/>
        <v>8732.4334661499997</v>
      </c>
      <c r="AH50" s="155">
        <f t="shared" si="88"/>
        <v>8732.4334661499997</v>
      </c>
      <c r="AI50" s="155">
        <f t="shared" si="88"/>
        <v>8732.4334661499997</v>
      </c>
      <c r="AJ50" s="155">
        <f t="shared" si="88"/>
        <v>8732.4334661499997</v>
      </c>
      <c r="AK50" s="155">
        <f t="shared" si="88"/>
        <v>8732.4334661499997</v>
      </c>
      <c r="AL50" s="155">
        <f t="shared" si="88"/>
        <v>8732.4334661499997</v>
      </c>
      <c r="AM50" s="155">
        <f t="shared" si="88"/>
        <v>8732.4334661499997</v>
      </c>
      <c r="AN50" s="184">
        <f t="shared" si="38"/>
        <v>8732.4334661499997</v>
      </c>
      <c r="AO50" s="155"/>
      <c r="AQ50" s="155">
        <f t="shared" si="31"/>
        <v>18179.352115449998</v>
      </c>
      <c r="AR50" s="155">
        <f t="shared" si="85"/>
        <v>-722.53829851952037</v>
      </c>
      <c r="AS50" s="155">
        <f t="shared" si="86"/>
        <v>-655.67654552219165</v>
      </c>
      <c r="AT50" s="155">
        <f t="shared" si="86"/>
        <v>-590.97162326671219</v>
      </c>
      <c r="AU50" s="155">
        <f t="shared" si="82"/>
        <v>-524.10987026938346</v>
      </c>
      <c r="AV50" s="155">
        <f t="shared" si="82"/>
        <v>-459.40494801390406</v>
      </c>
      <c r="AW50" s="155">
        <f t="shared" si="82"/>
        <v>-392.54319501657528</v>
      </c>
      <c r="AX50" s="155">
        <f t="shared" si="82"/>
        <v>-325.6814420192465</v>
      </c>
      <c r="AY50" s="155">
        <f t="shared" si="82"/>
        <v>-265.29018124746568</v>
      </c>
      <c r="AZ50" s="155">
        <f t="shared" si="82"/>
        <v>-198.42842825013696</v>
      </c>
      <c r="BA50" s="155">
        <f t="shared" si="82"/>
        <v>-133.7235059946575</v>
      </c>
      <c r="BB50" s="155">
        <f t="shared" si="82"/>
        <v>-66.86175299732875</v>
      </c>
      <c r="BC50" s="155">
        <f t="shared" si="82"/>
        <v>-2.1568307418493147</v>
      </c>
      <c r="BD50" s="155">
        <f t="shared" si="33"/>
        <v>8732.4334661499997</v>
      </c>
      <c r="BE50" s="155">
        <f t="shared" si="34"/>
        <v>13841.965493591026</v>
      </c>
    </row>
    <row r="51" spans="1:57" x14ac:dyDescent="0.15">
      <c r="A51" s="39" t="s">
        <v>54</v>
      </c>
      <c r="G51" s="155">
        <v>-16917.810000000001</v>
      </c>
      <c r="H51" s="155">
        <f t="shared" si="55"/>
        <v>-16917.810000000001</v>
      </c>
      <c r="I51" s="155">
        <f t="shared" si="55"/>
        <v>-16917.810000000001</v>
      </c>
      <c r="J51" s="155">
        <f t="shared" si="55"/>
        <v>-16917.810000000001</v>
      </c>
      <c r="K51" s="155">
        <f t="shared" si="52"/>
        <v>-16917.810000000001</v>
      </c>
      <c r="L51" s="155">
        <f t="shared" si="52"/>
        <v>-16917.810000000001</v>
      </c>
      <c r="M51" s="155">
        <f t="shared" si="52"/>
        <v>-16917.810000000001</v>
      </c>
      <c r="N51" s="184">
        <f t="shared" si="27"/>
        <v>-16917.810000000001</v>
      </c>
      <c r="O51" s="155">
        <f t="shared" si="28"/>
        <v>-16917.810000000001</v>
      </c>
      <c r="P51" s="155">
        <f t="shared" ref="P51:Z51" si="89">+O51+SUMIF($B$282:$B$328,$A51,P$282:P$328)</f>
        <v>-16917.810000000001</v>
      </c>
      <c r="Q51" s="155">
        <f t="shared" si="89"/>
        <v>-16917.810000000001</v>
      </c>
      <c r="R51" s="155">
        <f t="shared" si="89"/>
        <v>-16917.810000000001</v>
      </c>
      <c r="S51" s="155">
        <f t="shared" si="89"/>
        <v>-16917.810000000001</v>
      </c>
      <c r="T51" s="155">
        <f t="shared" si="89"/>
        <v>-16917.810000000001</v>
      </c>
      <c r="U51" s="155">
        <f t="shared" si="89"/>
        <v>-16917.810000000001</v>
      </c>
      <c r="V51" s="155">
        <f t="shared" si="89"/>
        <v>-16917.810000000001</v>
      </c>
      <c r="W51" s="155">
        <f t="shared" si="89"/>
        <v>-16917.810000000001</v>
      </c>
      <c r="X51" s="155">
        <f t="shared" si="89"/>
        <v>-16917.810000000001</v>
      </c>
      <c r="Y51" s="155">
        <f t="shared" si="89"/>
        <v>-16917.810000000001</v>
      </c>
      <c r="Z51" s="155">
        <f t="shared" si="89"/>
        <v>-16917.810000000001</v>
      </c>
      <c r="AA51" s="184">
        <f t="shared" si="36"/>
        <v>-16917.810000000001</v>
      </c>
      <c r="AB51" s="155">
        <f t="shared" ref="AB51:AM51" si="90">+AA51+SUMIF($B$282:$B$328,$A51,AB$282:AB$328)</f>
        <v>-16917.810000000001</v>
      </c>
      <c r="AC51" s="155">
        <f t="shared" si="90"/>
        <v>-16917.810000000001</v>
      </c>
      <c r="AD51" s="155">
        <f t="shared" si="90"/>
        <v>-16917.810000000001</v>
      </c>
      <c r="AE51" s="155">
        <f t="shared" si="90"/>
        <v>-16917.810000000001</v>
      </c>
      <c r="AF51" s="155">
        <f t="shared" si="90"/>
        <v>-16917.810000000001</v>
      </c>
      <c r="AG51" s="155">
        <f t="shared" si="90"/>
        <v>-16917.810000000001</v>
      </c>
      <c r="AH51" s="155">
        <f t="shared" si="90"/>
        <v>-16917.810000000001</v>
      </c>
      <c r="AI51" s="155">
        <f t="shared" si="90"/>
        <v>-16917.810000000001</v>
      </c>
      <c r="AJ51" s="155">
        <f t="shared" si="90"/>
        <v>-16917.810000000001</v>
      </c>
      <c r="AK51" s="155">
        <f t="shared" si="90"/>
        <v>-16917.810000000001</v>
      </c>
      <c r="AL51" s="155">
        <f t="shared" si="90"/>
        <v>-16917.810000000001</v>
      </c>
      <c r="AM51" s="155">
        <f t="shared" si="90"/>
        <v>-16917.810000000001</v>
      </c>
      <c r="AN51" s="184">
        <f t="shared" si="38"/>
        <v>-16917.810000000001</v>
      </c>
      <c r="AO51" s="155"/>
      <c r="AQ51" s="155">
        <f t="shared" si="31"/>
        <v>-16917.810000000001</v>
      </c>
      <c r="AR51" s="155">
        <f t="shared" si="85"/>
        <v>0</v>
      </c>
      <c r="AS51" s="155">
        <f t="shared" si="86"/>
        <v>0</v>
      </c>
      <c r="AT51" s="155">
        <f t="shared" si="86"/>
        <v>0</v>
      </c>
      <c r="AU51" s="155">
        <f t="shared" si="82"/>
        <v>0</v>
      </c>
      <c r="AV51" s="155">
        <f t="shared" si="82"/>
        <v>0</v>
      </c>
      <c r="AW51" s="155">
        <f t="shared" si="82"/>
        <v>0</v>
      </c>
      <c r="AX51" s="155">
        <f t="shared" si="82"/>
        <v>0</v>
      </c>
      <c r="AY51" s="155">
        <f t="shared" si="82"/>
        <v>0</v>
      </c>
      <c r="AZ51" s="155">
        <f t="shared" si="82"/>
        <v>0</v>
      </c>
      <c r="BA51" s="155">
        <f t="shared" si="82"/>
        <v>0</v>
      </c>
      <c r="BB51" s="155">
        <f t="shared" si="82"/>
        <v>0</v>
      </c>
      <c r="BC51" s="155">
        <f t="shared" si="82"/>
        <v>0</v>
      </c>
      <c r="BD51" s="155">
        <f t="shared" si="33"/>
        <v>-16917.810000000001</v>
      </c>
      <c r="BE51" s="155">
        <f t="shared" si="34"/>
        <v>-16917.810000000001</v>
      </c>
    </row>
    <row r="52" spans="1:57" x14ac:dyDescent="0.15">
      <c r="A52" s="39" t="s">
        <v>55</v>
      </c>
      <c r="G52" s="155">
        <f>-797693640.7-10593315</f>
        <v>-808286955.70000005</v>
      </c>
      <c r="H52" s="155">
        <f t="shared" si="55"/>
        <v>-808286955.70000005</v>
      </c>
      <c r="I52" s="155">
        <f t="shared" si="55"/>
        <v>-808286955.70000005</v>
      </c>
      <c r="J52" s="155">
        <f t="shared" si="55"/>
        <v>-807179382.51705158</v>
      </c>
      <c r="K52" s="155">
        <f t="shared" si="52"/>
        <v>-807179382.51705158</v>
      </c>
      <c r="L52" s="155">
        <f t="shared" si="52"/>
        <v>-807179382.51705158</v>
      </c>
      <c r="M52" s="155">
        <f t="shared" si="52"/>
        <v>-805676898.01734149</v>
      </c>
      <c r="N52" s="184">
        <f t="shared" si="27"/>
        <v>-805676898.01734149</v>
      </c>
      <c r="O52" s="155">
        <f t="shared" si="28"/>
        <v>-805676898.01734149</v>
      </c>
      <c r="P52" s="155">
        <f t="shared" ref="P52:Z52" si="91">+O52+SUMIF($B$282:$B$328,$A52,P$282:P$328)</f>
        <v>-805676898.01734149</v>
      </c>
      <c r="Q52" s="155">
        <f t="shared" si="91"/>
        <v>-803681230.69263542</v>
      </c>
      <c r="R52" s="155">
        <f t="shared" si="91"/>
        <v>-803003307.19845498</v>
      </c>
      <c r="S52" s="155">
        <f t="shared" si="91"/>
        <v>-803003307.19845498</v>
      </c>
      <c r="T52" s="155">
        <f t="shared" si="91"/>
        <v>-801674253.52068281</v>
      </c>
      <c r="U52" s="155">
        <f t="shared" si="91"/>
        <v>-801674253.52068281</v>
      </c>
      <c r="V52" s="155">
        <f t="shared" si="91"/>
        <v>-801674253.52068281</v>
      </c>
      <c r="W52" s="155">
        <f t="shared" si="91"/>
        <v>-799661621.02242053</v>
      </c>
      <c r="X52" s="155">
        <f t="shared" si="91"/>
        <v>-799661621.02242053</v>
      </c>
      <c r="Y52" s="155">
        <f t="shared" si="91"/>
        <v>-799661621.02242053</v>
      </c>
      <c r="Z52" s="155">
        <f t="shared" si="91"/>
        <v>-797648988.52415824</v>
      </c>
      <c r="AA52" s="184">
        <f t="shared" si="36"/>
        <v>-797648988.52415824</v>
      </c>
      <c r="AB52" s="155">
        <f t="shared" ref="AB52:AM52" si="92">+AA52+SUMIF($B$282:$B$328,$A52,AB$282:AB$328)</f>
        <v>-797648988.52415824</v>
      </c>
      <c r="AC52" s="155">
        <f t="shared" si="92"/>
        <v>-797648988.52415824</v>
      </c>
      <c r="AD52" s="155">
        <f t="shared" si="92"/>
        <v>-795483125.80035949</v>
      </c>
      <c r="AE52" s="155">
        <f t="shared" si="92"/>
        <v>-794756207.42646217</v>
      </c>
      <c r="AF52" s="155">
        <f t="shared" si="92"/>
        <v>-794756207.42646217</v>
      </c>
      <c r="AG52" s="155">
        <f t="shared" si="92"/>
        <v>-793317263.07656074</v>
      </c>
      <c r="AH52" s="155">
        <f t="shared" si="92"/>
        <v>-793317263.07656074</v>
      </c>
      <c r="AI52" s="155">
        <f t="shared" si="92"/>
        <v>-793317263.07656074</v>
      </c>
      <c r="AJ52" s="155">
        <f t="shared" si="92"/>
        <v>-791151400.35276198</v>
      </c>
      <c r="AK52" s="155">
        <f t="shared" si="92"/>
        <v>-791151400.35276198</v>
      </c>
      <c r="AL52" s="155">
        <f t="shared" si="92"/>
        <v>-791151400.35276198</v>
      </c>
      <c r="AM52" s="155">
        <f t="shared" si="92"/>
        <v>-788985537.62896323</v>
      </c>
      <c r="AN52" s="184">
        <f t="shared" si="38"/>
        <v>-788985537.62896323</v>
      </c>
      <c r="AO52" s="155"/>
      <c r="AQ52" s="155">
        <f t="shared" si="31"/>
        <v>-803003307.19845498</v>
      </c>
      <c r="AR52" s="155">
        <f t="shared" si="85"/>
        <v>630771.32959305681</v>
      </c>
      <c r="AS52" s="155">
        <f t="shared" si="86"/>
        <v>572401.44536205754</v>
      </c>
      <c r="AT52" s="155">
        <f t="shared" si="86"/>
        <v>515914.46062238078</v>
      </c>
      <c r="AU52" s="155">
        <f t="shared" si="82"/>
        <v>457544.5763913815</v>
      </c>
      <c r="AV52" s="155">
        <f t="shared" si="82"/>
        <v>401057.5916517048</v>
      </c>
      <c r="AW52" s="155">
        <f t="shared" si="82"/>
        <v>342687.70742070547</v>
      </c>
      <c r="AX52" s="155">
        <f t="shared" si="82"/>
        <v>284317.82318970619</v>
      </c>
      <c r="AY52" s="155">
        <f t="shared" si="82"/>
        <v>231596.63743267459</v>
      </c>
      <c r="AZ52" s="155">
        <f t="shared" si="82"/>
        <v>173226.75320167531</v>
      </c>
      <c r="BA52" s="155">
        <f t="shared" si="82"/>
        <v>116739.76846199857</v>
      </c>
      <c r="BB52" s="155">
        <f t="shared" si="82"/>
        <v>58369.884230999283</v>
      </c>
      <c r="BC52" s="155">
        <f t="shared" si="82"/>
        <v>1882.8994913225577</v>
      </c>
      <c r="BD52" s="155">
        <f t="shared" si="33"/>
        <v>-794756207.42646217</v>
      </c>
      <c r="BE52" s="155">
        <f t="shared" si="34"/>
        <v>-799216796.32140529</v>
      </c>
    </row>
    <row r="53" spans="1:57" x14ac:dyDescent="0.15">
      <c r="A53" s="39" t="s">
        <v>56</v>
      </c>
      <c r="G53" s="155">
        <v>-70394146.950000003</v>
      </c>
      <c r="H53" s="155">
        <f t="shared" si="55"/>
        <v>-70394146.950000003</v>
      </c>
      <c r="I53" s="155">
        <f t="shared" si="55"/>
        <v>-70394146.950000003</v>
      </c>
      <c r="J53" s="155">
        <f t="shared" si="55"/>
        <v>-70189657.174829662</v>
      </c>
      <c r="K53" s="155">
        <f t="shared" si="52"/>
        <v>-70189657.174829662</v>
      </c>
      <c r="L53" s="155">
        <f t="shared" si="52"/>
        <v>-70189657.174829662</v>
      </c>
      <c r="M53" s="155">
        <f t="shared" si="52"/>
        <v>-70008545.978301704</v>
      </c>
      <c r="N53" s="184">
        <f t="shared" si="27"/>
        <v>-70008545.978301704</v>
      </c>
      <c r="O53" s="155">
        <f t="shared" si="28"/>
        <v>-70008545.978301704</v>
      </c>
      <c r="P53" s="155">
        <f t="shared" ref="P53:Z53" si="93">+O53+SUMIF($B$282:$B$328,$A53,P$282:P$328)</f>
        <v>-70008545.978301704</v>
      </c>
      <c r="Q53" s="155">
        <f t="shared" si="93"/>
        <v>-69773652.444821581</v>
      </c>
      <c r="R53" s="155">
        <f t="shared" si="93"/>
        <v>-69773652.444821581</v>
      </c>
      <c r="S53" s="155">
        <f t="shared" si="93"/>
        <v>-69773652.444821581</v>
      </c>
      <c r="T53" s="155">
        <f t="shared" si="93"/>
        <v>-69538758.911341459</v>
      </c>
      <c r="U53" s="155">
        <f t="shared" si="93"/>
        <v>-69538758.911341459</v>
      </c>
      <c r="V53" s="155">
        <f t="shared" si="93"/>
        <v>-69538758.911341459</v>
      </c>
      <c r="W53" s="155">
        <f t="shared" si="93"/>
        <v>-69303865.377861336</v>
      </c>
      <c r="X53" s="155">
        <f t="shared" si="93"/>
        <v>-69303865.377861336</v>
      </c>
      <c r="Y53" s="155">
        <f t="shared" si="93"/>
        <v>-69303865.377861336</v>
      </c>
      <c r="Z53" s="155">
        <f t="shared" si="93"/>
        <v>-69068971.844381213</v>
      </c>
      <c r="AA53" s="184">
        <f t="shared" si="36"/>
        <v>-69068971.844381213</v>
      </c>
      <c r="AB53" s="155">
        <f t="shared" ref="AB53:AM53" si="94">+AA53+SUMIF($B$282:$B$328,$A53,AB$282:AB$328)</f>
        <v>-69068971.844381213</v>
      </c>
      <c r="AC53" s="155">
        <f t="shared" si="94"/>
        <v>-69068971.844381213</v>
      </c>
      <c r="AD53" s="155">
        <f t="shared" si="94"/>
        <v>-68847022.610220507</v>
      </c>
      <c r="AE53" s="155">
        <f t="shared" si="94"/>
        <v>-68847022.610220507</v>
      </c>
      <c r="AF53" s="155">
        <f t="shared" si="94"/>
        <v>-68847022.610220507</v>
      </c>
      <c r="AG53" s="155">
        <f t="shared" si="94"/>
        <v>-68625073.3760598</v>
      </c>
      <c r="AH53" s="155">
        <f t="shared" si="94"/>
        <v>-68625073.3760598</v>
      </c>
      <c r="AI53" s="155">
        <f t="shared" si="94"/>
        <v>-68625073.3760598</v>
      </c>
      <c r="AJ53" s="155">
        <f t="shared" si="94"/>
        <v>-68403124.141899094</v>
      </c>
      <c r="AK53" s="155">
        <f t="shared" si="94"/>
        <v>-68403124.141899094</v>
      </c>
      <c r="AL53" s="155">
        <f t="shared" si="94"/>
        <v>-68403124.141899094</v>
      </c>
      <c r="AM53" s="155">
        <f t="shared" si="94"/>
        <v>-68181174.907738388</v>
      </c>
      <c r="AN53" s="184">
        <f t="shared" si="38"/>
        <v>-68181174.907738388</v>
      </c>
      <c r="AO53" s="155"/>
      <c r="AQ53" s="155">
        <f t="shared" si="31"/>
        <v>-69773652.444821581</v>
      </c>
      <c r="AR53" s="155">
        <f t="shared" si="85"/>
        <v>70872.373194374406</v>
      </c>
      <c r="AS53" s="155">
        <f t="shared" si="86"/>
        <v>64314.034182357675</v>
      </c>
      <c r="AT53" s="155">
        <f t="shared" si="86"/>
        <v>57967.254493309221</v>
      </c>
      <c r="AU53" s="155">
        <f t="shared" si="82"/>
        <v>51408.91548129249</v>
      </c>
      <c r="AV53" s="155">
        <f t="shared" si="82"/>
        <v>45062.135792244029</v>
      </c>
      <c r="AW53" s="155">
        <f t="shared" si="82"/>
        <v>38503.796780227291</v>
      </c>
      <c r="AX53" s="155">
        <f t="shared" si="82"/>
        <v>31945.457768210559</v>
      </c>
      <c r="AY53" s="155">
        <f t="shared" si="82"/>
        <v>26021.796725098666</v>
      </c>
      <c r="AZ53" s="155">
        <f t="shared" si="82"/>
        <v>19463.457713081931</v>
      </c>
      <c r="BA53" s="155">
        <f t="shared" si="82"/>
        <v>13116.678024033474</v>
      </c>
      <c r="BB53" s="155">
        <f t="shared" si="82"/>
        <v>6558.3390120167369</v>
      </c>
      <c r="BC53" s="155">
        <f t="shared" si="82"/>
        <v>211.55932296828183</v>
      </c>
      <c r="BD53" s="155">
        <f t="shared" si="33"/>
        <v>-68847022.610220507</v>
      </c>
      <c r="BE53" s="155">
        <f t="shared" si="34"/>
        <v>-69348206.646332353</v>
      </c>
    </row>
    <row r="54" spans="1:57" x14ac:dyDescent="0.15">
      <c r="A54" s="39" t="s">
        <v>267</v>
      </c>
      <c r="G54" s="155">
        <v>471185.03</v>
      </c>
      <c r="H54" s="155">
        <f t="shared" si="55"/>
        <v>471185.03</v>
      </c>
      <c r="I54" s="155">
        <f t="shared" si="55"/>
        <v>471185.03</v>
      </c>
      <c r="J54" s="155">
        <f t="shared" si="55"/>
        <v>1060947.59626714</v>
      </c>
      <c r="K54" s="155">
        <f t="shared" si="52"/>
        <v>1060947.59626714</v>
      </c>
      <c r="L54" s="155">
        <f t="shared" si="52"/>
        <v>1060947.59626714</v>
      </c>
      <c r="M54" s="155">
        <f t="shared" si="52"/>
        <v>500828.197755442</v>
      </c>
      <c r="N54" s="184">
        <f t="shared" si="27"/>
        <v>500828.197755442</v>
      </c>
      <c r="O54" s="155">
        <f t="shared" si="28"/>
        <v>500828.197755442</v>
      </c>
      <c r="P54" s="155">
        <f t="shared" ref="P54:Z54" si="95">+O54+SUMIF($B$282:$B$328,$A54,P$282:P$328)</f>
        <v>500828.197755442</v>
      </c>
      <c r="Q54" s="155">
        <f t="shared" si="95"/>
        <v>1449814.3939397829</v>
      </c>
      <c r="R54" s="155">
        <f t="shared" si="95"/>
        <v>1449814.3939397829</v>
      </c>
      <c r="S54" s="155">
        <f t="shared" si="95"/>
        <v>1449814.3939397829</v>
      </c>
      <c r="T54" s="155">
        <f t="shared" si="95"/>
        <v>611192.70203228586</v>
      </c>
      <c r="U54" s="155">
        <f t="shared" si="95"/>
        <v>611192.70203228586</v>
      </c>
      <c r="V54" s="155">
        <f t="shared" si="95"/>
        <v>611192.70203228586</v>
      </c>
      <c r="W54" s="155">
        <f t="shared" si="95"/>
        <v>851243.98432756192</v>
      </c>
      <c r="X54" s="155">
        <f t="shared" si="95"/>
        <v>851243.98432756192</v>
      </c>
      <c r="Y54" s="155">
        <f t="shared" si="95"/>
        <v>851243.98432756192</v>
      </c>
      <c r="Z54" s="155">
        <f t="shared" si="95"/>
        <v>500828.19775544194</v>
      </c>
      <c r="AA54" s="184">
        <f t="shared" si="36"/>
        <v>500828.19775544194</v>
      </c>
      <c r="AB54" s="155">
        <f t="shared" ref="AB54:AM54" si="96">+AA54+SUMIF($B$282:$B$328,$A54,AB$282:AB$328)</f>
        <v>500828.19775544194</v>
      </c>
      <c r="AC54" s="155">
        <f t="shared" si="96"/>
        <v>500828.19775544194</v>
      </c>
      <c r="AD54" s="155">
        <f t="shared" si="96"/>
        <v>1761384.520959832</v>
      </c>
      <c r="AE54" s="155">
        <f t="shared" si="96"/>
        <v>1449814.39385888</v>
      </c>
      <c r="AF54" s="155">
        <f t="shared" si="96"/>
        <v>1761384.520959832</v>
      </c>
      <c r="AG54" s="155">
        <f t="shared" si="96"/>
        <v>764394.783899409</v>
      </c>
      <c r="AH54" s="155">
        <f t="shared" si="96"/>
        <v>764394.783899409</v>
      </c>
      <c r="AI54" s="155">
        <f t="shared" si="96"/>
        <v>764394.783899409</v>
      </c>
      <c r="AJ54" s="155">
        <f t="shared" si="96"/>
        <v>1204505.919893482</v>
      </c>
      <c r="AK54" s="155">
        <f t="shared" si="96"/>
        <v>1204505.919893482</v>
      </c>
      <c r="AL54" s="155">
        <f t="shared" si="96"/>
        <v>1204505.919893482</v>
      </c>
      <c r="AM54" s="155">
        <f t="shared" si="96"/>
        <v>500828.19775542791</v>
      </c>
      <c r="AN54" s="184">
        <f t="shared" si="38"/>
        <v>500828.19775542791</v>
      </c>
      <c r="AO54" s="155"/>
      <c r="AQ54" s="155">
        <f t="shared" si="31"/>
        <v>1449814.3939397829</v>
      </c>
      <c r="AR54" s="155">
        <f t="shared" si="85"/>
        <v>-6.1877733670583325E-6</v>
      </c>
      <c r="AS54" s="155">
        <f t="shared" si="86"/>
        <v>-5.6151734435395019E-6</v>
      </c>
      <c r="AT54" s="155">
        <f t="shared" si="86"/>
        <v>-5.061044485295472E-6</v>
      </c>
      <c r="AU54" s="155">
        <f t="shared" si="82"/>
        <v>-4.4884445617766414E-6</v>
      </c>
      <c r="AV54" s="155">
        <f t="shared" si="82"/>
        <v>-3.9343156035326115E-6</v>
      </c>
      <c r="AW54" s="155">
        <f t="shared" si="82"/>
        <v>-3.3617156800137809E-6</v>
      </c>
      <c r="AX54" s="155">
        <f t="shared" si="82"/>
        <v>-2.7891157564949502E-6</v>
      </c>
      <c r="AY54" s="155">
        <f t="shared" si="82"/>
        <v>-2.2719287288005222E-6</v>
      </c>
      <c r="AZ54" s="155">
        <f t="shared" si="82"/>
        <v>-1.6993288052816916E-6</v>
      </c>
      <c r="BA54" s="155">
        <f t="shared" si="82"/>
        <v>-1.1451998470376615E-6</v>
      </c>
      <c r="BB54" s="155">
        <f t="shared" si="82"/>
        <v>-5.7259992351883073E-7</v>
      </c>
      <c r="BC54" s="155">
        <f t="shared" si="82"/>
        <v>-1.8470965274800992E-8</v>
      </c>
      <c r="BD54" s="155">
        <f t="shared" si="33"/>
        <v>1449814.39385888</v>
      </c>
      <c r="BE54" s="155">
        <f t="shared" si="34"/>
        <v>1449814.3939026378</v>
      </c>
    </row>
    <row r="55" spans="1:57" x14ac:dyDescent="0.15">
      <c r="A55" s="39" t="s">
        <v>57</v>
      </c>
      <c r="G55" s="155">
        <v>-36.03</v>
      </c>
      <c r="H55" s="155">
        <f t="shared" si="55"/>
        <v>-36.03</v>
      </c>
      <c r="I55" s="155">
        <f t="shared" si="55"/>
        <v>-36.03</v>
      </c>
      <c r="J55" s="155">
        <f t="shared" si="55"/>
        <v>-36.03</v>
      </c>
      <c r="K55" s="155">
        <f t="shared" ref="K55:M74" si="97">+J55+SUMIF($B$282:$B$328,$A55,K$282:K$328)</f>
        <v>-36.03</v>
      </c>
      <c r="L55" s="155">
        <f t="shared" si="97"/>
        <v>-36.03</v>
      </c>
      <c r="M55" s="155">
        <f t="shared" si="97"/>
        <v>-36.03</v>
      </c>
      <c r="N55" s="184">
        <f t="shared" si="27"/>
        <v>-36.03</v>
      </c>
      <c r="O55" s="155">
        <f t="shared" si="28"/>
        <v>-36.03</v>
      </c>
      <c r="P55" s="155">
        <f t="shared" ref="P55:Z55" si="98">+O55+SUMIF($B$282:$B$328,$A55,P$282:P$328)</f>
        <v>-36.03</v>
      </c>
      <c r="Q55" s="155">
        <f t="shared" si="98"/>
        <v>-36.03</v>
      </c>
      <c r="R55" s="155">
        <f t="shared" si="98"/>
        <v>-36.03</v>
      </c>
      <c r="S55" s="155">
        <f t="shared" si="98"/>
        <v>-36.03</v>
      </c>
      <c r="T55" s="155">
        <f t="shared" si="98"/>
        <v>-36.03</v>
      </c>
      <c r="U55" s="155">
        <f t="shared" si="98"/>
        <v>-36.03</v>
      </c>
      <c r="V55" s="155">
        <f t="shared" si="98"/>
        <v>-36.03</v>
      </c>
      <c r="W55" s="155">
        <f t="shared" si="98"/>
        <v>-36.03</v>
      </c>
      <c r="X55" s="155">
        <f t="shared" si="98"/>
        <v>-36.03</v>
      </c>
      <c r="Y55" s="155">
        <f t="shared" si="98"/>
        <v>-36.03</v>
      </c>
      <c r="Z55" s="155">
        <f t="shared" si="98"/>
        <v>-36.03</v>
      </c>
      <c r="AA55" s="184">
        <f t="shared" si="36"/>
        <v>-36.03</v>
      </c>
      <c r="AB55" s="155">
        <f t="shared" ref="AB55:AM55" si="99">+AA55+SUMIF($B$282:$B$328,$A55,AB$282:AB$328)</f>
        <v>-36.03</v>
      </c>
      <c r="AC55" s="155">
        <f t="shared" si="99"/>
        <v>-36.03</v>
      </c>
      <c r="AD55" s="155">
        <f t="shared" si="99"/>
        <v>-36.03</v>
      </c>
      <c r="AE55" s="155">
        <f t="shared" si="99"/>
        <v>-36.03</v>
      </c>
      <c r="AF55" s="155">
        <f t="shared" si="99"/>
        <v>-36.03</v>
      </c>
      <c r="AG55" s="155">
        <f t="shared" si="99"/>
        <v>-36.03</v>
      </c>
      <c r="AH55" s="155">
        <f t="shared" si="99"/>
        <v>-36.03</v>
      </c>
      <c r="AI55" s="155">
        <f t="shared" si="99"/>
        <v>-36.03</v>
      </c>
      <c r="AJ55" s="155">
        <f t="shared" si="99"/>
        <v>-36.03</v>
      </c>
      <c r="AK55" s="155">
        <f t="shared" si="99"/>
        <v>-36.03</v>
      </c>
      <c r="AL55" s="155">
        <f t="shared" si="99"/>
        <v>-36.03</v>
      </c>
      <c r="AM55" s="155">
        <f t="shared" si="99"/>
        <v>-36.03</v>
      </c>
      <c r="AN55" s="184">
        <f t="shared" si="38"/>
        <v>-36.03</v>
      </c>
      <c r="AO55" s="155"/>
      <c r="AQ55" s="155">
        <f t="shared" si="31"/>
        <v>-36.03</v>
      </c>
      <c r="AR55" s="155">
        <f t="shared" si="85"/>
        <v>0</v>
      </c>
      <c r="AS55" s="155">
        <f t="shared" si="86"/>
        <v>0</v>
      </c>
      <c r="AT55" s="155">
        <f t="shared" si="86"/>
        <v>0</v>
      </c>
      <c r="AU55" s="155">
        <f t="shared" si="82"/>
        <v>0</v>
      </c>
      <c r="AV55" s="155">
        <f t="shared" si="82"/>
        <v>0</v>
      </c>
      <c r="AW55" s="155">
        <f t="shared" si="82"/>
        <v>0</v>
      </c>
      <c r="AX55" s="155">
        <f t="shared" si="82"/>
        <v>0</v>
      </c>
      <c r="AY55" s="155">
        <f t="shared" si="82"/>
        <v>0</v>
      </c>
      <c r="AZ55" s="155">
        <f t="shared" si="82"/>
        <v>0</v>
      </c>
      <c r="BA55" s="155">
        <f t="shared" si="82"/>
        <v>0</v>
      </c>
      <c r="BB55" s="155">
        <f t="shared" si="82"/>
        <v>0</v>
      </c>
      <c r="BC55" s="155">
        <f t="shared" si="82"/>
        <v>0</v>
      </c>
      <c r="BD55" s="155">
        <f t="shared" si="33"/>
        <v>-36.03</v>
      </c>
      <c r="BE55" s="155">
        <f t="shared" si="34"/>
        <v>-36.03</v>
      </c>
    </row>
    <row r="56" spans="1:57" x14ac:dyDescent="0.15">
      <c r="A56" s="39" t="s">
        <v>58</v>
      </c>
      <c r="G56" s="155">
        <v>465061.26</v>
      </c>
      <c r="H56" s="155">
        <f t="shared" ref="H56:J75" si="100">+G56+SUMIF($B$282:$B$328,$A56,H$282:H$328)</f>
        <v>465061.26</v>
      </c>
      <c r="I56" s="155">
        <f t="shared" si="100"/>
        <v>465061.26</v>
      </c>
      <c r="J56" s="155">
        <f t="shared" si="100"/>
        <v>1380614.3379267317</v>
      </c>
      <c r="K56" s="155">
        <f t="shared" si="97"/>
        <v>1380614.3379267317</v>
      </c>
      <c r="L56" s="155">
        <f t="shared" si="97"/>
        <v>1380614.3379267317</v>
      </c>
      <c r="M56" s="155">
        <f t="shared" si="97"/>
        <v>2296167.4158534631</v>
      </c>
      <c r="N56" s="184">
        <f t="shared" si="27"/>
        <v>2296167.4158534631</v>
      </c>
      <c r="O56" s="155">
        <f t="shared" si="28"/>
        <v>2296167.4158534631</v>
      </c>
      <c r="P56" s="155">
        <f t="shared" ref="P56:Z56" si="101">+O56+SUMIF($B$282:$B$328,$A56,P$282:P$328)</f>
        <v>2296167.4158534631</v>
      </c>
      <c r="Q56" s="155">
        <f t="shared" si="101"/>
        <v>1970986.9490292454</v>
      </c>
      <c r="R56" s="155">
        <f t="shared" si="101"/>
        <v>1970986.9490292454</v>
      </c>
      <c r="S56" s="155">
        <f t="shared" si="101"/>
        <v>1970986.9490292454</v>
      </c>
      <c r="T56" s="155">
        <f t="shared" si="101"/>
        <v>1645806.4822050277</v>
      </c>
      <c r="U56" s="155">
        <f t="shared" si="101"/>
        <v>1645806.4822050277</v>
      </c>
      <c r="V56" s="155">
        <f t="shared" si="101"/>
        <v>1645806.4822050277</v>
      </c>
      <c r="W56" s="155">
        <f t="shared" si="101"/>
        <v>1320626.01538081</v>
      </c>
      <c r="X56" s="155">
        <f t="shared" si="101"/>
        <v>1320626.01538081</v>
      </c>
      <c r="Y56" s="155">
        <f t="shared" si="101"/>
        <v>1320626.01538081</v>
      </c>
      <c r="Z56" s="155">
        <f t="shared" si="101"/>
        <v>995445.5485565922</v>
      </c>
      <c r="AA56" s="184">
        <f t="shared" si="36"/>
        <v>995445.5485565922</v>
      </c>
      <c r="AB56" s="155">
        <f t="shared" ref="AB56:AM56" si="102">+AA56+SUMIF($B$282:$B$328,$A56,AB$282:AB$328)</f>
        <v>995445.5485565922</v>
      </c>
      <c r="AC56" s="155">
        <f t="shared" si="102"/>
        <v>995445.5485565922</v>
      </c>
      <c r="AD56" s="155">
        <f t="shared" si="102"/>
        <v>980144.91229555814</v>
      </c>
      <c r="AE56" s="155">
        <f t="shared" si="102"/>
        <v>980144.91229555814</v>
      </c>
      <c r="AF56" s="155">
        <f t="shared" si="102"/>
        <v>980144.91229555814</v>
      </c>
      <c r="AG56" s="155">
        <f t="shared" si="102"/>
        <v>964844.27603452408</v>
      </c>
      <c r="AH56" s="155">
        <f t="shared" si="102"/>
        <v>964844.27603452408</v>
      </c>
      <c r="AI56" s="155">
        <f t="shared" si="102"/>
        <v>964844.27603452408</v>
      </c>
      <c r="AJ56" s="155">
        <f t="shared" si="102"/>
        <v>949543.63977349002</v>
      </c>
      <c r="AK56" s="155">
        <f t="shared" si="102"/>
        <v>949543.63977349002</v>
      </c>
      <c r="AL56" s="155">
        <f t="shared" si="102"/>
        <v>949543.63977349002</v>
      </c>
      <c r="AM56" s="155">
        <f t="shared" si="102"/>
        <v>934243.00351245597</v>
      </c>
      <c r="AN56" s="184">
        <f t="shared" si="38"/>
        <v>934243.00351245597</v>
      </c>
      <c r="AO56" s="155"/>
      <c r="AQ56" s="155">
        <f t="shared" si="31"/>
        <v>1970986.9490292454</v>
      </c>
      <c r="AR56" s="155">
        <f t="shared" si="85"/>
        <v>-75783.58043511078</v>
      </c>
      <c r="AS56" s="155">
        <f t="shared" si="86"/>
        <v>-68770.771499324415</v>
      </c>
      <c r="AT56" s="155">
        <f t="shared" si="86"/>
        <v>-61984.18220662792</v>
      </c>
      <c r="AU56" s="155">
        <f t="shared" si="82"/>
        <v>-54971.373270841555</v>
      </c>
      <c r="AV56" s="155">
        <f t="shared" si="82"/>
        <v>-48184.783978145068</v>
      </c>
      <c r="AW56" s="155">
        <f t="shared" si="82"/>
        <v>-41171.975042358696</v>
      </c>
      <c r="AX56" s="155">
        <f t="shared" si="82"/>
        <v>-34159.166106572324</v>
      </c>
      <c r="AY56" s="155">
        <f t="shared" si="82"/>
        <v>-27825.0161000556</v>
      </c>
      <c r="AZ56" s="155">
        <f t="shared" si="82"/>
        <v>-20812.207164269232</v>
      </c>
      <c r="BA56" s="155">
        <f t="shared" si="82"/>
        <v>-14025.617871572742</v>
      </c>
      <c r="BB56" s="155">
        <f t="shared" si="82"/>
        <v>-7012.808935786371</v>
      </c>
      <c r="BC56" s="155">
        <f t="shared" si="82"/>
        <v>-226.21964308988294</v>
      </c>
      <c r="BD56" s="155">
        <f t="shared" si="33"/>
        <v>980144.91229555814</v>
      </c>
      <c r="BE56" s="155">
        <f t="shared" si="34"/>
        <v>1516059.2467754909</v>
      </c>
    </row>
    <row r="57" spans="1:57" x14ac:dyDescent="0.15">
      <c r="A57" s="39" t="s">
        <v>59</v>
      </c>
      <c r="G57" s="155">
        <v>175494.31</v>
      </c>
      <c r="H57" s="155">
        <f t="shared" si="100"/>
        <v>175494.31</v>
      </c>
      <c r="I57" s="155">
        <f t="shared" si="100"/>
        <v>175494.31</v>
      </c>
      <c r="J57" s="155">
        <f t="shared" si="100"/>
        <v>317350.56823275017</v>
      </c>
      <c r="K57" s="155">
        <f t="shared" si="97"/>
        <v>317350.56823275017</v>
      </c>
      <c r="L57" s="155">
        <f t="shared" si="97"/>
        <v>317350.56823275017</v>
      </c>
      <c r="M57" s="155">
        <f t="shared" si="97"/>
        <v>459206.82646550034</v>
      </c>
      <c r="N57" s="184">
        <f t="shared" si="27"/>
        <v>459206.82646550034</v>
      </c>
      <c r="O57" s="155">
        <f t="shared" si="28"/>
        <v>459206.82646550034</v>
      </c>
      <c r="P57" s="155">
        <f t="shared" ref="P57:Z57" si="103">+O57+SUMIF($B$282:$B$328,$A57,P$282:P$328)</f>
        <v>459206.82646550034</v>
      </c>
      <c r="Q57" s="155">
        <f t="shared" si="103"/>
        <v>342771.34862110566</v>
      </c>
      <c r="R57" s="155">
        <f t="shared" si="103"/>
        <v>342771.34862110566</v>
      </c>
      <c r="S57" s="155">
        <f t="shared" si="103"/>
        <v>342771.34862110566</v>
      </c>
      <c r="T57" s="155">
        <f t="shared" si="103"/>
        <v>226335.870776711</v>
      </c>
      <c r="U57" s="155">
        <f t="shared" si="103"/>
        <v>226335.870776711</v>
      </c>
      <c r="V57" s="155">
        <f t="shared" si="103"/>
        <v>226335.870776711</v>
      </c>
      <c r="W57" s="155">
        <f t="shared" si="103"/>
        <v>109900.39293231635</v>
      </c>
      <c r="X57" s="155">
        <f t="shared" si="103"/>
        <v>109900.39293231635</v>
      </c>
      <c r="Y57" s="155">
        <f t="shared" si="103"/>
        <v>109900.39293231635</v>
      </c>
      <c r="Z57" s="155">
        <f t="shared" si="103"/>
        <v>-6535.0849120783096</v>
      </c>
      <c r="AA57" s="184">
        <f t="shared" si="36"/>
        <v>-6535.0849120783096</v>
      </c>
      <c r="AB57" s="155">
        <f t="shared" ref="AB57:AM57" si="104">+AA57+SUMIF($B$282:$B$328,$A57,AB$282:AB$328)</f>
        <v>-6535.0849120783096</v>
      </c>
      <c r="AC57" s="155">
        <f t="shared" si="104"/>
        <v>-6535.0849120783096</v>
      </c>
      <c r="AD57" s="155">
        <f t="shared" si="104"/>
        <v>4824.6772002744619</v>
      </c>
      <c r="AE57" s="155">
        <f t="shared" si="104"/>
        <v>4824.6772002744619</v>
      </c>
      <c r="AF57" s="155">
        <f t="shared" si="104"/>
        <v>4824.6772002744619</v>
      </c>
      <c r="AG57" s="155">
        <f t="shared" si="104"/>
        <v>16184.439312627233</v>
      </c>
      <c r="AH57" s="155">
        <f t="shared" si="104"/>
        <v>16184.439312627233</v>
      </c>
      <c r="AI57" s="155">
        <f t="shared" si="104"/>
        <v>16184.439312627233</v>
      </c>
      <c r="AJ57" s="155">
        <f t="shared" si="104"/>
        <v>27544.201424980005</v>
      </c>
      <c r="AK57" s="155">
        <f t="shared" si="104"/>
        <v>27544.201424980005</v>
      </c>
      <c r="AL57" s="155">
        <f t="shared" si="104"/>
        <v>27544.201424980005</v>
      </c>
      <c r="AM57" s="155">
        <f t="shared" si="104"/>
        <v>38903.963537332776</v>
      </c>
      <c r="AN57" s="184">
        <f t="shared" si="38"/>
        <v>38903.963537332776</v>
      </c>
      <c r="AO57" s="155"/>
      <c r="AQ57" s="155">
        <f t="shared" si="31"/>
        <v>342771.34862110566</v>
      </c>
      <c r="AR57" s="155">
        <f t="shared" si="85"/>
        <v>-25847.519389492794</v>
      </c>
      <c r="AS57" s="155">
        <f t="shared" si="86"/>
        <v>-23455.659386285999</v>
      </c>
      <c r="AT57" s="155">
        <f t="shared" si="86"/>
        <v>-21140.956157376197</v>
      </c>
      <c r="AU57" s="155">
        <f t="shared" si="82"/>
        <v>-18749.096154169401</v>
      </c>
      <c r="AV57" s="155">
        <f t="shared" si="82"/>
        <v>-16434.392925259599</v>
      </c>
      <c r="AW57" s="155">
        <f t="shared" si="82"/>
        <v>-14042.532922052802</v>
      </c>
      <c r="AX57" s="155">
        <f t="shared" si="82"/>
        <v>-11650.672918846007</v>
      </c>
      <c r="AY57" s="155">
        <f t="shared" si="82"/>
        <v>-9490.2832385301899</v>
      </c>
      <c r="AZ57" s="155">
        <f t="shared" si="82"/>
        <v>-7098.4232353233947</v>
      </c>
      <c r="BA57" s="155">
        <f t="shared" si="82"/>
        <v>-4783.7200064135914</v>
      </c>
      <c r="BB57" s="155">
        <f t="shared" si="82"/>
        <v>-2391.8600032067957</v>
      </c>
      <c r="BC57" s="155">
        <f t="shared" si="82"/>
        <v>-77.156774296993419</v>
      </c>
      <c r="BD57" s="155">
        <f t="shared" si="33"/>
        <v>4824.6772002744619</v>
      </c>
      <c r="BE57" s="155">
        <f t="shared" si="34"/>
        <v>187609.07550985189</v>
      </c>
    </row>
    <row r="58" spans="1:57" x14ac:dyDescent="0.15">
      <c r="A58" s="39" t="s">
        <v>60</v>
      </c>
      <c r="G58" s="155">
        <v>10845853.119999999</v>
      </c>
      <c r="H58" s="155">
        <f t="shared" si="100"/>
        <v>10845853.119999999</v>
      </c>
      <c r="I58" s="155">
        <f t="shared" si="100"/>
        <v>10845853.119999999</v>
      </c>
      <c r="J58" s="155">
        <f t="shared" si="100"/>
        <v>10689907.278616199</v>
      </c>
      <c r="K58" s="155">
        <f t="shared" si="97"/>
        <v>10689907.278616199</v>
      </c>
      <c r="L58" s="155">
        <f t="shared" si="97"/>
        <v>10689907.278616199</v>
      </c>
      <c r="M58" s="155">
        <f t="shared" si="97"/>
        <v>10533961.437232399</v>
      </c>
      <c r="N58" s="184">
        <f t="shared" si="27"/>
        <v>10533961.437232399</v>
      </c>
      <c r="O58" s="155">
        <f t="shared" si="28"/>
        <v>10533961.437232399</v>
      </c>
      <c r="P58" s="155">
        <f t="shared" ref="P58:Z58" si="105">+O58+SUMIF($B$282:$B$328,$A58,P$282:P$328)</f>
        <v>10533961.437232399</v>
      </c>
      <c r="Q58" s="155">
        <f t="shared" si="105"/>
        <v>10354591.0699862</v>
      </c>
      <c r="R58" s="155">
        <f t="shared" si="105"/>
        <v>10354591.0699862</v>
      </c>
      <c r="S58" s="155">
        <f t="shared" si="105"/>
        <v>10354591.0699862</v>
      </c>
      <c r="T58" s="155">
        <f t="shared" si="105"/>
        <v>10175220.702740001</v>
      </c>
      <c r="U58" s="155">
        <f t="shared" si="105"/>
        <v>10175220.702740001</v>
      </c>
      <c r="V58" s="155">
        <f t="shared" si="105"/>
        <v>10175220.702740001</v>
      </c>
      <c r="W58" s="155">
        <f t="shared" si="105"/>
        <v>9995850.3354938012</v>
      </c>
      <c r="X58" s="155">
        <f t="shared" si="105"/>
        <v>9995850.3354938012</v>
      </c>
      <c r="Y58" s="155">
        <f t="shared" si="105"/>
        <v>9995850.3354938012</v>
      </c>
      <c r="Z58" s="155">
        <f t="shared" si="105"/>
        <v>9816479.9682476018</v>
      </c>
      <c r="AA58" s="184">
        <f t="shared" si="36"/>
        <v>9816479.9682476018</v>
      </c>
      <c r="AB58" s="155">
        <f t="shared" ref="AB58:AM58" si="106">+AA58+SUMIF($B$282:$B$328,$A58,AB$282:AB$328)</f>
        <v>9816479.9682476018</v>
      </c>
      <c r="AC58" s="155">
        <f t="shared" si="106"/>
        <v>9816479.9682476018</v>
      </c>
      <c r="AD58" s="155">
        <f t="shared" si="106"/>
        <v>9630875.5206983015</v>
      </c>
      <c r="AE58" s="155">
        <f t="shared" si="106"/>
        <v>9630875.5206983015</v>
      </c>
      <c r="AF58" s="155">
        <f t="shared" si="106"/>
        <v>9630875.5206983015</v>
      </c>
      <c r="AG58" s="155">
        <f t="shared" si="106"/>
        <v>9445271.0731490012</v>
      </c>
      <c r="AH58" s="155">
        <f t="shared" si="106"/>
        <v>9445271.0731490012</v>
      </c>
      <c r="AI58" s="155">
        <f t="shared" si="106"/>
        <v>9445271.0731490012</v>
      </c>
      <c r="AJ58" s="155">
        <f t="shared" si="106"/>
        <v>9259666.625599701</v>
      </c>
      <c r="AK58" s="155">
        <f t="shared" si="106"/>
        <v>9259666.625599701</v>
      </c>
      <c r="AL58" s="155">
        <f t="shared" si="106"/>
        <v>9259666.625599701</v>
      </c>
      <c r="AM58" s="155">
        <f t="shared" si="106"/>
        <v>9074062.1780504007</v>
      </c>
      <c r="AN58" s="184">
        <f t="shared" si="38"/>
        <v>9074062.1780504007</v>
      </c>
      <c r="AO58" s="155"/>
      <c r="AQ58" s="155">
        <f t="shared" si="31"/>
        <v>10354591.0699862</v>
      </c>
      <c r="AR58" s="155">
        <f t="shared" si="85"/>
        <v>-55352.673290284474</v>
      </c>
      <c r="AS58" s="155">
        <f t="shared" si="86"/>
        <v>-50230.485612676057</v>
      </c>
      <c r="AT58" s="155">
        <f t="shared" si="86"/>
        <v>-45273.529795635659</v>
      </c>
      <c r="AU58" s="155">
        <f t="shared" ref="AU58:BC70" si="107">($BD58-$AQ58)/12*AU$6</f>
        <v>-40151.342118027249</v>
      </c>
      <c r="AV58" s="155">
        <f t="shared" si="107"/>
        <v>-35194.386300986844</v>
      </c>
      <c r="AW58" s="155">
        <f t="shared" si="107"/>
        <v>-30072.19862337843</v>
      </c>
      <c r="AX58" s="155">
        <f t="shared" si="107"/>
        <v>-24950.010945770016</v>
      </c>
      <c r="AY58" s="155">
        <f t="shared" si="107"/>
        <v>-20323.518849865643</v>
      </c>
      <c r="AZ58" s="155">
        <f t="shared" si="107"/>
        <v>-15201.331172257229</v>
      </c>
      <c r="BA58" s="155">
        <f t="shared" si="107"/>
        <v>-10244.375355216827</v>
      </c>
      <c r="BB58" s="155">
        <f t="shared" si="107"/>
        <v>-5122.1876776084137</v>
      </c>
      <c r="BC58" s="155">
        <f t="shared" si="107"/>
        <v>-165.23186056801336</v>
      </c>
      <c r="BD58" s="155">
        <f t="shared" si="33"/>
        <v>9630875.5206983015</v>
      </c>
      <c r="BE58" s="155">
        <f t="shared" si="34"/>
        <v>10022309.798383923</v>
      </c>
    </row>
    <row r="59" spans="1:57" x14ac:dyDescent="0.15">
      <c r="A59" s="39" t="s">
        <v>61</v>
      </c>
      <c r="G59" s="155">
        <v>770928.66</v>
      </c>
      <c r="H59" s="155">
        <f t="shared" si="100"/>
        <v>770928.66</v>
      </c>
      <c r="I59" s="155">
        <f t="shared" si="100"/>
        <v>770928.66</v>
      </c>
      <c r="J59" s="155">
        <f t="shared" si="100"/>
        <v>770928.66</v>
      </c>
      <c r="K59" s="155">
        <f t="shared" si="97"/>
        <v>770928.66</v>
      </c>
      <c r="L59" s="155">
        <f t="shared" si="97"/>
        <v>770928.66</v>
      </c>
      <c r="M59" s="155">
        <f t="shared" si="97"/>
        <v>770928.66</v>
      </c>
      <c r="N59" s="184">
        <f t="shared" ref="N59:N90" si="108">+M59</f>
        <v>770928.66</v>
      </c>
      <c r="O59" s="155">
        <f t="shared" ref="O59:O90" si="109">+N59+SUMIF($B$282:$B$328,$A59,O$282:O$328)</f>
        <v>770928.66</v>
      </c>
      <c r="P59" s="155">
        <f t="shared" ref="P59:Z59" si="110">+O59+SUMIF($B$282:$B$328,$A59,P$282:P$328)</f>
        <v>770928.66</v>
      </c>
      <c r="Q59" s="155">
        <f t="shared" si="110"/>
        <v>770928.66</v>
      </c>
      <c r="R59" s="155">
        <f t="shared" si="110"/>
        <v>770928.66</v>
      </c>
      <c r="S59" s="155">
        <f t="shared" si="110"/>
        <v>770928.66</v>
      </c>
      <c r="T59" s="155">
        <f t="shared" si="110"/>
        <v>770928.66</v>
      </c>
      <c r="U59" s="155">
        <f t="shared" si="110"/>
        <v>770928.66</v>
      </c>
      <c r="V59" s="155">
        <f t="shared" si="110"/>
        <v>770928.66</v>
      </c>
      <c r="W59" s="155">
        <f t="shared" si="110"/>
        <v>770928.66</v>
      </c>
      <c r="X59" s="155">
        <f t="shared" si="110"/>
        <v>770928.66</v>
      </c>
      <c r="Y59" s="155">
        <f t="shared" si="110"/>
        <v>770928.66</v>
      </c>
      <c r="Z59" s="155">
        <f t="shared" si="110"/>
        <v>770928.66</v>
      </c>
      <c r="AA59" s="184">
        <f t="shared" si="36"/>
        <v>770928.66</v>
      </c>
      <c r="AB59" s="155">
        <f t="shared" ref="AB59:AM59" si="111">+AA59+SUMIF($B$282:$B$328,$A59,AB$282:AB$328)</f>
        <v>770928.66</v>
      </c>
      <c r="AC59" s="155">
        <f t="shared" si="111"/>
        <v>770928.66</v>
      </c>
      <c r="AD59" s="155">
        <f t="shared" si="111"/>
        <v>770928.66</v>
      </c>
      <c r="AE59" s="155">
        <f t="shared" si="111"/>
        <v>770928.66</v>
      </c>
      <c r="AF59" s="155">
        <f t="shared" si="111"/>
        <v>770928.66</v>
      </c>
      <c r="AG59" s="155">
        <f t="shared" si="111"/>
        <v>770928.66</v>
      </c>
      <c r="AH59" s="155">
        <f t="shared" si="111"/>
        <v>770928.66</v>
      </c>
      <c r="AI59" s="155">
        <f t="shared" si="111"/>
        <v>770928.66</v>
      </c>
      <c r="AJ59" s="155">
        <f t="shared" si="111"/>
        <v>770928.66</v>
      </c>
      <c r="AK59" s="155">
        <f t="shared" si="111"/>
        <v>770928.66</v>
      </c>
      <c r="AL59" s="155">
        <f t="shared" si="111"/>
        <v>770928.66</v>
      </c>
      <c r="AM59" s="155">
        <f t="shared" si="111"/>
        <v>770928.66</v>
      </c>
      <c r="AN59" s="184">
        <f t="shared" si="38"/>
        <v>770928.66</v>
      </c>
      <c r="AO59" s="155"/>
      <c r="AQ59" s="155">
        <f t="shared" ref="AQ59:AQ90" si="112">+R59</f>
        <v>770928.66</v>
      </c>
      <c r="AR59" s="155">
        <f t="shared" si="85"/>
        <v>0</v>
      </c>
      <c r="AS59" s="155">
        <f t="shared" si="86"/>
        <v>0</v>
      </c>
      <c r="AT59" s="155">
        <f t="shared" si="86"/>
        <v>0</v>
      </c>
      <c r="AU59" s="155">
        <f t="shared" si="107"/>
        <v>0</v>
      </c>
      <c r="AV59" s="155">
        <f t="shared" si="107"/>
        <v>0</v>
      </c>
      <c r="AW59" s="155">
        <f t="shared" si="107"/>
        <v>0</v>
      </c>
      <c r="AX59" s="155">
        <f t="shared" si="107"/>
        <v>0</v>
      </c>
      <c r="AY59" s="155">
        <f t="shared" si="107"/>
        <v>0</v>
      </c>
      <c r="AZ59" s="155">
        <f t="shared" si="107"/>
        <v>0</v>
      </c>
      <c r="BA59" s="155">
        <f t="shared" si="107"/>
        <v>0</v>
      </c>
      <c r="BB59" s="155">
        <f t="shared" si="107"/>
        <v>0</v>
      </c>
      <c r="BC59" s="155">
        <f t="shared" si="107"/>
        <v>0</v>
      </c>
      <c r="BD59" s="155">
        <f t="shared" ref="BD59:BD90" si="113">+AE59</f>
        <v>770928.66</v>
      </c>
      <c r="BE59" s="155">
        <f t="shared" si="34"/>
        <v>770928.66</v>
      </c>
    </row>
    <row r="60" spans="1:57" x14ac:dyDescent="0.15">
      <c r="A60" s="39" t="s">
        <v>62</v>
      </c>
      <c r="G60" s="155">
        <v>7092606.46</v>
      </c>
      <c r="H60" s="155">
        <f t="shared" si="100"/>
        <v>7092606.46</v>
      </c>
      <c r="I60" s="155">
        <f t="shared" si="100"/>
        <v>7092606.46</v>
      </c>
      <c r="J60" s="155">
        <f t="shared" si="100"/>
        <v>7092606.46</v>
      </c>
      <c r="K60" s="155">
        <f t="shared" si="97"/>
        <v>7092606.46</v>
      </c>
      <c r="L60" s="155">
        <f t="shared" si="97"/>
        <v>7092606.46</v>
      </c>
      <c r="M60" s="155">
        <f t="shared" si="97"/>
        <v>7092606.46</v>
      </c>
      <c r="N60" s="184">
        <f t="shared" si="108"/>
        <v>7092606.46</v>
      </c>
      <c r="O60" s="155">
        <f t="shared" si="109"/>
        <v>7092606.46</v>
      </c>
      <c r="P60" s="155">
        <f t="shared" ref="P60:Z60" si="114">+O60+SUMIF($B$282:$B$328,$A60,P$282:P$328)</f>
        <v>7092606.46</v>
      </c>
      <c r="Q60" s="155">
        <f t="shared" si="114"/>
        <v>7092606.46</v>
      </c>
      <c r="R60" s="155">
        <f t="shared" si="114"/>
        <v>7092606.46</v>
      </c>
      <c r="S60" s="155">
        <f t="shared" si="114"/>
        <v>7092606.46</v>
      </c>
      <c r="T60" s="155">
        <f t="shared" si="114"/>
        <v>7092606.46</v>
      </c>
      <c r="U60" s="155">
        <f t="shared" si="114"/>
        <v>7092606.46</v>
      </c>
      <c r="V60" s="155">
        <f t="shared" si="114"/>
        <v>7092606.46</v>
      </c>
      <c r="W60" s="155">
        <f t="shared" si="114"/>
        <v>7092606.46</v>
      </c>
      <c r="X60" s="155">
        <f t="shared" si="114"/>
        <v>7092606.46</v>
      </c>
      <c r="Y60" s="155">
        <f t="shared" si="114"/>
        <v>7092606.46</v>
      </c>
      <c r="Z60" s="155">
        <f t="shared" si="114"/>
        <v>7092606.46</v>
      </c>
      <c r="AA60" s="184">
        <f t="shared" si="36"/>
        <v>7092606.46</v>
      </c>
      <c r="AB60" s="155">
        <f t="shared" ref="AB60:AM60" si="115">+AA60+SUMIF($B$282:$B$328,$A60,AB$282:AB$328)</f>
        <v>7092606.46</v>
      </c>
      <c r="AC60" s="155">
        <f t="shared" si="115"/>
        <v>7092606.46</v>
      </c>
      <c r="AD60" s="155">
        <f t="shared" si="115"/>
        <v>7092606.46</v>
      </c>
      <c r="AE60" s="155">
        <f t="shared" si="115"/>
        <v>7092606.46</v>
      </c>
      <c r="AF60" s="155">
        <f t="shared" si="115"/>
        <v>7092606.46</v>
      </c>
      <c r="AG60" s="155">
        <f t="shared" si="115"/>
        <v>7092606.46</v>
      </c>
      <c r="AH60" s="155">
        <f t="shared" si="115"/>
        <v>7092606.46</v>
      </c>
      <c r="AI60" s="155">
        <f t="shared" si="115"/>
        <v>7092606.46</v>
      </c>
      <c r="AJ60" s="155">
        <f t="shared" si="115"/>
        <v>7092606.46</v>
      </c>
      <c r="AK60" s="155">
        <f t="shared" si="115"/>
        <v>7092606.46</v>
      </c>
      <c r="AL60" s="155">
        <f t="shared" si="115"/>
        <v>7092606.46</v>
      </c>
      <c r="AM60" s="155">
        <f t="shared" si="115"/>
        <v>7092606.46</v>
      </c>
      <c r="AN60" s="184">
        <f t="shared" si="38"/>
        <v>7092606.46</v>
      </c>
      <c r="AO60" s="155"/>
      <c r="AQ60" s="155">
        <f t="shared" si="112"/>
        <v>7092606.46</v>
      </c>
      <c r="AR60" s="155">
        <f t="shared" si="85"/>
        <v>0</v>
      </c>
      <c r="AS60" s="155">
        <f t="shared" si="86"/>
        <v>0</v>
      </c>
      <c r="AT60" s="155">
        <f t="shared" si="86"/>
        <v>0</v>
      </c>
      <c r="AU60" s="155">
        <f t="shared" si="107"/>
        <v>0</v>
      </c>
      <c r="AV60" s="155">
        <f t="shared" si="107"/>
        <v>0</v>
      </c>
      <c r="AW60" s="155">
        <f t="shared" si="107"/>
        <v>0</v>
      </c>
      <c r="AX60" s="155">
        <f t="shared" si="107"/>
        <v>0</v>
      </c>
      <c r="AY60" s="155">
        <f t="shared" si="107"/>
        <v>0</v>
      </c>
      <c r="AZ60" s="155">
        <f t="shared" si="107"/>
        <v>0</v>
      </c>
      <c r="BA60" s="155">
        <f t="shared" si="107"/>
        <v>0</v>
      </c>
      <c r="BB60" s="155">
        <f t="shared" si="107"/>
        <v>0</v>
      </c>
      <c r="BC60" s="155">
        <f t="shared" si="107"/>
        <v>0</v>
      </c>
      <c r="BD60" s="155">
        <f t="shared" si="113"/>
        <v>7092606.46</v>
      </c>
      <c r="BE60" s="155">
        <f t="shared" si="34"/>
        <v>7092606.46</v>
      </c>
    </row>
    <row r="61" spans="1:57" x14ac:dyDescent="0.15">
      <c r="A61" s="39" t="s">
        <v>63</v>
      </c>
      <c r="G61" s="155">
        <v>-4059846.68</v>
      </c>
      <c r="H61" s="155">
        <f t="shared" si="100"/>
        <v>-4059846.68</v>
      </c>
      <c r="I61" s="155">
        <f t="shared" si="100"/>
        <v>-4059846.68</v>
      </c>
      <c r="J61" s="155">
        <f t="shared" si="100"/>
        <v>-4059846.68</v>
      </c>
      <c r="K61" s="155">
        <f t="shared" si="97"/>
        <v>-4059846.68</v>
      </c>
      <c r="L61" s="155">
        <f t="shared" si="97"/>
        <v>-4059846.68</v>
      </c>
      <c r="M61" s="155">
        <f t="shared" si="97"/>
        <v>-4059846.68</v>
      </c>
      <c r="N61" s="184">
        <f t="shared" si="108"/>
        <v>-4059846.68</v>
      </c>
      <c r="O61" s="155">
        <f t="shared" si="109"/>
        <v>-4059846.68</v>
      </c>
      <c r="P61" s="155">
        <f t="shared" ref="P61:Z61" si="116">+O61+SUMIF($B$282:$B$328,$A61,P$282:P$328)</f>
        <v>-4059846.68</v>
      </c>
      <c r="Q61" s="155">
        <f t="shared" si="116"/>
        <v>-4059846.68</v>
      </c>
      <c r="R61" s="155">
        <f t="shared" si="116"/>
        <v>-4059846.68</v>
      </c>
      <c r="S61" s="155">
        <f t="shared" si="116"/>
        <v>-4059846.68</v>
      </c>
      <c r="T61" s="155">
        <f t="shared" si="116"/>
        <v>-4059846.68</v>
      </c>
      <c r="U61" s="155">
        <f t="shared" si="116"/>
        <v>-4059846.68</v>
      </c>
      <c r="V61" s="155">
        <f t="shared" si="116"/>
        <v>-4059846.68</v>
      </c>
      <c r="W61" s="155">
        <f t="shared" si="116"/>
        <v>-4059846.68</v>
      </c>
      <c r="X61" s="155">
        <f t="shared" si="116"/>
        <v>-4059846.68</v>
      </c>
      <c r="Y61" s="155">
        <f t="shared" si="116"/>
        <v>-4059846.68</v>
      </c>
      <c r="Z61" s="155">
        <f t="shared" si="116"/>
        <v>-4059846.68</v>
      </c>
      <c r="AA61" s="184">
        <f t="shared" si="36"/>
        <v>-4059846.68</v>
      </c>
      <c r="AB61" s="155">
        <f t="shared" ref="AB61:AM61" si="117">+AA61+SUMIF($B$282:$B$328,$A61,AB$282:AB$328)</f>
        <v>-4059846.68</v>
      </c>
      <c r="AC61" s="155">
        <f t="shared" si="117"/>
        <v>-4059846.68</v>
      </c>
      <c r="AD61" s="155">
        <f t="shared" si="117"/>
        <v>-4059846.68</v>
      </c>
      <c r="AE61" s="155">
        <f t="shared" si="117"/>
        <v>-4059846.68</v>
      </c>
      <c r="AF61" s="155">
        <f t="shared" si="117"/>
        <v>-4059846.68</v>
      </c>
      <c r="AG61" s="155">
        <f t="shared" si="117"/>
        <v>-4059846.68</v>
      </c>
      <c r="AH61" s="155">
        <f t="shared" si="117"/>
        <v>-4059846.68</v>
      </c>
      <c r="AI61" s="155">
        <f t="shared" si="117"/>
        <v>-4059846.68</v>
      </c>
      <c r="AJ61" s="155">
        <f t="shared" si="117"/>
        <v>-4059846.68</v>
      </c>
      <c r="AK61" s="155">
        <f t="shared" si="117"/>
        <v>-4059846.68</v>
      </c>
      <c r="AL61" s="155">
        <f t="shared" si="117"/>
        <v>-4059846.68</v>
      </c>
      <c r="AM61" s="155">
        <f t="shared" si="117"/>
        <v>-4059846.68</v>
      </c>
      <c r="AN61" s="184">
        <f t="shared" si="38"/>
        <v>-4059846.68</v>
      </c>
      <c r="AO61" s="155"/>
      <c r="AQ61" s="155">
        <f t="shared" si="112"/>
        <v>-4059846.68</v>
      </c>
      <c r="AR61" s="155">
        <f t="shared" si="85"/>
        <v>0</v>
      </c>
      <c r="AS61" s="155">
        <f t="shared" si="86"/>
        <v>0</v>
      </c>
      <c r="AT61" s="155">
        <f t="shared" si="86"/>
        <v>0</v>
      </c>
      <c r="AU61" s="155">
        <f t="shared" si="107"/>
        <v>0</v>
      </c>
      <c r="AV61" s="155">
        <f t="shared" si="107"/>
        <v>0</v>
      </c>
      <c r="AW61" s="155">
        <f t="shared" si="107"/>
        <v>0</v>
      </c>
      <c r="AX61" s="155">
        <f t="shared" si="107"/>
        <v>0</v>
      </c>
      <c r="AY61" s="155">
        <f t="shared" si="107"/>
        <v>0</v>
      </c>
      <c r="AZ61" s="155">
        <f t="shared" si="107"/>
        <v>0</v>
      </c>
      <c r="BA61" s="155">
        <f t="shared" si="107"/>
        <v>0</v>
      </c>
      <c r="BB61" s="155">
        <f t="shared" si="107"/>
        <v>0</v>
      </c>
      <c r="BC61" s="155">
        <f t="shared" si="107"/>
        <v>0</v>
      </c>
      <c r="BD61" s="155">
        <f t="shared" si="113"/>
        <v>-4059846.68</v>
      </c>
      <c r="BE61" s="155">
        <f t="shared" si="34"/>
        <v>-4059846.68</v>
      </c>
    </row>
    <row r="62" spans="1:57" x14ac:dyDescent="0.15">
      <c r="A62" s="39" t="s">
        <v>64</v>
      </c>
      <c r="G62" s="155">
        <v>-3032759.84</v>
      </c>
      <c r="H62" s="155">
        <f t="shared" si="100"/>
        <v>-3032759.84</v>
      </c>
      <c r="I62" s="155">
        <f t="shared" si="100"/>
        <v>-3032759.84</v>
      </c>
      <c r="J62" s="155">
        <f t="shared" si="100"/>
        <v>-3032759.84</v>
      </c>
      <c r="K62" s="155">
        <f t="shared" si="97"/>
        <v>-3032759.84</v>
      </c>
      <c r="L62" s="155">
        <f t="shared" si="97"/>
        <v>-3032759.84</v>
      </c>
      <c r="M62" s="155">
        <f t="shared" si="97"/>
        <v>-3032759.84</v>
      </c>
      <c r="N62" s="184">
        <f t="shared" si="108"/>
        <v>-3032759.84</v>
      </c>
      <c r="O62" s="155">
        <f t="shared" si="109"/>
        <v>-3032759.84</v>
      </c>
      <c r="P62" s="155">
        <f t="shared" ref="P62:Z62" si="118">+O62+SUMIF($B$282:$B$328,$A62,P$282:P$328)</f>
        <v>-3032759.84</v>
      </c>
      <c r="Q62" s="155">
        <f t="shared" si="118"/>
        <v>-3032759.84</v>
      </c>
      <c r="R62" s="155">
        <f t="shared" si="118"/>
        <v>-3032759.84</v>
      </c>
      <c r="S62" s="155">
        <f t="shared" si="118"/>
        <v>-3032759.84</v>
      </c>
      <c r="T62" s="155">
        <f t="shared" si="118"/>
        <v>-3032759.84</v>
      </c>
      <c r="U62" s="155">
        <f t="shared" si="118"/>
        <v>-3032759.84</v>
      </c>
      <c r="V62" s="155">
        <f t="shared" si="118"/>
        <v>-3032759.84</v>
      </c>
      <c r="W62" s="155">
        <f t="shared" si="118"/>
        <v>-3032759.84</v>
      </c>
      <c r="X62" s="155">
        <f t="shared" si="118"/>
        <v>-3032759.84</v>
      </c>
      <c r="Y62" s="155">
        <f t="shared" si="118"/>
        <v>-3032759.84</v>
      </c>
      <c r="Z62" s="155">
        <f t="shared" si="118"/>
        <v>-3032759.84</v>
      </c>
      <c r="AA62" s="184">
        <f t="shared" si="36"/>
        <v>-3032759.84</v>
      </c>
      <c r="AB62" s="155">
        <f t="shared" ref="AB62:AM62" si="119">+AA62+SUMIF($B$282:$B$328,$A62,AB$282:AB$328)</f>
        <v>-3032759.84</v>
      </c>
      <c r="AC62" s="155">
        <f t="shared" si="119"/>
        <v>-3032759.84</v>
      </c>
      <c r="AD62" s="155">
        <f t="shared" si="119"/>
        <v>-3032759.84</v>
      </c>
      <c r="AE62" s="155">
        <f t="shared" si="119"/>
        <v>-3032759.84</v>
      </c>
      <c r="AF62" s="155">
        <f t="shared" si="119"/>
        <v>-3032759.84</v>
      </c>
      <c r="AG62" s="155">
        <f t="shared" si="119"/>
        <v>-3032759.84</v>
      </c>
      <c r="AH62" s="155">
        <f t="shared" si="119"/>
        <v>-3032759.84</v>
      </c>
      <c r="AI62" s="155">
        <f t="shared" si="119"/>
        <v>-3032759.84</v>
      </c>
      <c r="AJ62" s="155">
        <f t="shared" si="119"/>
        <v>-3032759.84</v>
      </c>
      <c r="AK62" s="155">
        <f t="shared" si="119"/>
        <v>-3032759.84</v>
      </c>
      <c r="AL62" s="155">
        <f t="shared" si="119"/>
        <v>-3032759.84</v>
      </c>
      <c r="AM62" s="155">
        <f t="shared" si="119"/>
        <v>-3032759.84</v>
      </c>
      <c r="AN62" s="184">
        <f t="shared" si="38"/>
        <v>-3032759.84</v>
      </c>
      <c r="AO62" s="155"/>
      <c r="AQ62" s="155">
        <f t="shared" si="112"/>
        <v>-3032759.84</v>
      </c>
      <c r="AR62" s="155">
        <f t="shared" si="85"/>
        <v>0</v>
      </c>
      <c r="AS62" s="155">
        <f t="shared" si="86"/>
        <v>0</v>
      </c>
      <c r="AT62" s="155">
        <f t="shared" si="86"/>
        <v>0</v>
      </c>
      <c r="AU62" s="155">
        <f t="shared" si="107"/>
        <v>0</v>
      </c>
      <c r="AV62" s="155">
        <f t="shared" si="107"/>
        <v>0</v>
      </c>
      <c r="AW62" s="155">
        <f t="shared" si="107"/>
        <v>0</v>
      </c>
      <c r="AX62" s="155">
        <f t="shared" si="107"/>
        <v>0</v>
      </c>
      <c r="AY62" s="155">
        <f t="shared" si="107"/>
        <v>0</v>
      </c>
      <c r="AZ62" s="155">
        <f t="shared" si="107"/>
        <v>0</v>
      </c>
      <c r="BA62" s="155">
        <f t="shared" si="107"/>
        <v>0</v>
      </c>
      <c r="BB62" s="155">
        <f t="shared" si="107"/>
        <v>0</v>
      </c>
      <c r="BC62" s="155">
        <f t="shared" si="107"/>
        <v>0</v>
      </c>
      <c r="BD62" s="155">
        <f t="shared" si="113"/>
        <v>-3032759.84</v>
      </c>
      <c r="BE62" s="155">
        <f t="shared" si="34"/>
        <v>-3032759.84</v>
      </c>
    </row>
    <row r="63" spans="1:57" x14ac:dyDescent="0.15">
      <c r="A63" s="39" t="s">
        <v>65</v>
      </c>
      <c r="G63" s="155">
        <v>-2004569.17</v>
      </c>
      <c r="H63" s="155">
        <f t="shared" si="100"/>
        <v>-2004569.17</v>
      </c>
      <c r="I63" s="155">
        <f t="shared" si="100"/>
        <v>-2004569.17</v>
      </c>
      <c r="J63" s="155">
        <f t="shared" si="100"/>
        <v>-1944404.2502931724</v>
      </c>
      <c r="K63" s="155">
        <f t="shared" si="97"/>
        <v>-1944404.2502931724</v>
      </c>
      <c r="L63" s="155">
        <f t="shared" si="97"/>
        <v>-1944404.2502931724</v>
      </c>
      <c r="M63" s="155">
        <f t="shared" si="97"/>
        <v>-1884239.3305863449</v>
      </c>
      <c r="N63" s="184">
        <f t="shared" si="108"/>
        <v>-1884239.3305863449</v>
      </c>
      <c r="O63" s="155">
        <f t="shared" si="109"/>
        <v>-1884239.3305863449</v>
      </c>
      <c r="P63" s="155">
        <f t="shared" ref="P63:Z63" si="120">+O63+SUMIF($B$282:$B$328,$A63,P$282:P$328)</f>
        <v>-1884239.3305863449</v>
      </c>
      <c r="Q63" s="155">
        <f t="shared" si="120"/>
        <v>-1923827.8276200721</v>
      </c>
      <c r="R63" s="155">
        <f t="shared" si="120"/>
        <v>-1923827.8276200721</v>
      </c>
      <c r="S63" s="155">
        <f t="shared" si="120"/>
        <v>-1923827.8276200721</v>
      </c>
      <c r="T63" s="155">
        <f t="shared" si="120"/>
        <v>-1963416.3246537992</v>
      </c>
      <c r="U63" s="155">
        <f t="shared" si="120"/>
        <v>-1963416.3246537992</v>
      </c>
      <c r="V63" s="155">
        <f t="shared" si="120"/>
        <v>-1963416.3246537992</v>
      </c>
      <c r="W63" s="155">
        <f t="shared" si="120"/>
        <v>-2003004.8216875263</v>
      </c>
      <c r="X63" s="155">
        <f t="shared" si="120"/>
        <v>-2003004.8216875263</v>
      </c>
      <c r="Y63" s="155">
        <f t="shared" si="120"/>
        <v>-2003004.8216875263</v>
      </c>
      <c r="Z63" s="155">
        <f t="shared" si="120"/>
        <v>-2042593.3187212534</v>
      </c>
      <c r="AA63" s="184">
        <f t="shared" si="36"/>
        <v>-2042593.3187212534</v>
      </c>
      <c r="AB63" s="155">
        <f t="shared" ref="AB63:AM63" si="121">+AA63+SUMIF($B$282:$B$328,$A63,AB$282:AB$328)</f>
        <v>-2042593.3187212534</v>
      </c>
      <c r="AC63" s="155">
        <f t="shared" si="121"/>
        <v>-2042593.3187212534</v>
      </c>
      <c r="AD63" s="155">
        <f t="shared" si="121"/>
        <v>-2141997.5818118956</v>
      </c>
      <c r="AE63" s="155">
        <f t="shared" si="121"/>
        <v>-2141997.5818118956</v>
      </c>
      <c r="AF63" s="155">
        <f t="shared" si="121"/>
        <v>-2141997.5818118956</v>
      </c>
      <c r="AG63" s="155">
        <f t="shared" si="121"/>
        <v>-2241401.8449025378</v>
      </c>
      <c r="AH63" s="155">
        <f t="shared" si="121"/>
        <v>-2241401.8449025378</v>
      </c>
      <c r="AI63" s="155">
        <f t="shared" si="121"/>
        <v>-2241401.8449025378</v>
      </c>
      <c r="AJ63" s="155">
        <f t="shared" si="121"/>
        <v>-2340806.1079931799</v>
      </c>
      <c r="AK63" s="155">
        <f t="shared" si="121"/>
        <v>-2340806.1079931799</v>
      </c>
      <c r="AL63" s="155">
        <f t="shared" si="121"/>
        <v>-2340806.1079931799</v>
      </c>
      <c r="AM63" s="155">
        <f t="shared" si="121"/>
        <v>-2440210.3710838221</v>
      </c>
      <c r="AN63" s="184">
        <f t="shared" si="38"/>
        <v>-2440210.3710838221</v>
      </c>
      <c r="AO63" s="155"/>
      <c r="AQ63" s="155">
        <f t="shared" si="112"/>
        <v>-1923827.8276200721</v>
      </c>
      <c r="AR63" s="155">
        <f t="shared" si="85"/>
        <v>-16686.499464443124</v>
      </c>
      <c r="AS63" s="155">
        <f t="shared" si="86"/>
        <v>-15142.375633405103</v>
      </c>
      <c r="AT63" s="155">
        <f t="shared" si="86"/>
        <v>-13648.062248529599</v>
      </c>
      <c r="AU63" s="155">
        <f t="shared" si="107"/>
        <v>-12103.938417491579</v>
      </c>
      <c r="AV63" s="155">
        <f t="shared" si="107"/>
        <v>-10609.625032616077</v>
      </c>
      <c r="AW63" s="155">
        <f t="shared" si="107"/>
        <v>-9065.5012015780558</v>
      </c>
      <c r="AX63" s="155">
        <f t="shared" si="107"/>
        <v>-7521.3773705400354</v>
      </c>
      <c r="AY63" s="155">
        <f t="shared" si="107"/>
        <v>-6126.6848779895645</v>
      </c>
      <c r="AZ63" s="155">
        <f t="shared" si="107"/>
        <v>-4582.561046951545</v>
      </c>
      <c r="BA63" s="155">
        <f t="shared" si="107"/>
        <v>-3088.2476620760408</v>
      </c>
      <c r="BB63" s="155">
        <f t="shared" si="107"/>
        <v>-1544.1238310380204</v>
      </c>
      <c r="BC63" s="155">
        <f t="shared" si="107"/>
        <v>-49.810446162516783</v>
      </c>
      <c r="BD63" s="155">
        <f t="shared" si="113"/>
        <v>-2141997.5818118956</v>
      </c>
      <c r="BE63" s="155">
        <f t="shared" si="34"/>
        <v>-2023996.6348528932</v>
      </c>
    </row>
    <row r="64" spans="1:57" x14ac:dyDescent="0.15">
      <c r="A64" s="39" t="s">
        <v>268</v>
      </c>
      <c r="G64" s="155">
        <v>1081205.21</v>
      </c>
      <c r="H64" s="155">
        <f t="shared" si="100"/>
        <v>1081205.21</v>
      </c>
      <c r="I64" s="155">
        <f t="shared" si="100"/>
        <v>1081205.21</v>
      </c>
      <c r="J64" s="155">
        <f t="shared" si="100"/>
        <v>1286205.21</v>
      </c>
      <c r="K64" s="155">
        <f t="shared" si="97"/>
        <v>1286205.21</v>
      </c>
      <c r="L64" s="155">
        <f t="shared" si="97"/>
        <v>1286205.21</v>
      </c>
      <c r="M64" s="155">
        <f t="shared" si="97"/>
        <v>1491205.21</v>
      </c>
      <c r="N64" s="184">
        <f t="shared" si="108"/>
        <v>1491205.21</v>
      </c>
      <c r="O64" s="155">
        <f t="shared" si="109"/>
        <v>1491205.21</v>
      </c>
      <c r="P64" s="155">
        <f t="shared" ref="P64:Z64" si="122">+O64+SUMIF($B$282:$B$328,$A64,P$282:P$328)</f>
        <v>1491205.21</v>
      </c>
      <c r="Q64" s="155">
        <f t="shared" si="122"/>
        <v>1696205.21</v>
      </c>
      <c r="R64" s="155">
        <f t="shared" si="122"/>
        <v>1696205.21</v>
      </c>
      <c r="S64" s="155">
        <f t="shared" si="122"/>
        <v>1696205.21</v>
      </c>
      <c r="T64" s="155">
        <f t="shared" si="122"/>
        <v>1901205.21</v>
      </c>
      <c r="U64" s="155">
        <f t="shared" si="122"/>
        <v>1901205.21</v>
      </c>
      <c r="V64" s="155">
        <f t="shared" si="122"/>
        <v>1901205.21</v>
      </c>
      <c r="W64" s="155">
        <f t="shared" si="122"/>
        <v>2106205.21</v>
      </c>
      <c r="X64" s="155">
        <f t="shared" si="122"/>
        <v>2106205.21</v>
      </c>
      <c r="Y64" s="155">
        <f t="shared" si="122"/>
        <v>2106205.21</v>
      </c>
      <c r="Z64" s="155">
        <f t="shared" si="122"/>
        <v>2311205.21</v>
      </c>
      <c r="AA64" s="184">
        <f t="shared" si="36"/>
        <v>2311205.21</v>
      </c>
      <c r="AB64" s="155">
        <f t="shared" ref="AB64:AM64" si="123">+AA64+SUMIF($B$282:$B$328,$A64,AB$282:AB$328)</f>
        <v>2311205.21</v>
      </c>
      <c r="AC64" s="155">
        <f t="shared" si="123"/>
        <v>2311205.21</v>
      </c>
      <c r="AD64" s="155">
        <f t="shared" si="123"/>
        <v>640853.71</v>
      </c>
      <c r="AE64" s="155">
        <f t="shared" si="123"/>
        <v>640853.71</v>
      </c>
      <c r="AF64" s="155">
        <f t="shared" si="123"/>
        <v>640853.71</v>
      </c>
      <c r="AG64" s="155">
        <f t="shared" si="123"/>
        <v>-1029497.79</v>
      </c>
      <c r="AH64" s="155">
        <f t="shared" si="123"/>
        <v>-1029497.79</v>
      </c>
      <c r="AI64" s="155">
        <f t="shared" si="123"/>
        <v>-1029497.79</v>
      </c>
      <c r="AJ64" s="155">
        <f t="shared" si="123"/>
        <v>-2699849.29</v>
      </c>
      <c r="AK64" s="155">
        <f t="shared" si="123"/>
        <v>-2699849.29</v>
      </c>
      <c r="AL64" s="155">
        <f t="shared" si="123"/>
        <v>-2699849.29</v>
      </c>
      <c r="AM64" s="155">
        <f t="shared" si="123"/>
        <v>-4370200.79</v>
      </c>
      <c r="AN64" s="184">
        <f t="shared" si="38"/>
        <v>-4370200.79</v>
      </c>
      <c r="AO64" s="155"/>
      <c r="AQ64" s="155">
        <f t="shared" si="112"/>
        <v>1696205.21</v>
      </c>
      <c r="AR64" s="155">
        <f t="shared" si="85"/>
        <v>-80717.523401826475</v>
      </c>
      <c r="AS64" s="155">
        <f t="shared" si="86"/>
        <v>-73248.140639269404</v>
      </c>
      <c r="AT64" s="155">
        <f t="shared" si="86"/>
        <v>-66019.70570776255</v>
      </c>
      <c r="AU64" s="155">
        <f t="shared" si="107"/>
        <v>-58550.32294520548</v>
      </c>
      <c r="AV64" s="155">
        <f t="shared" si="107"/>
        <v>-51321.888013698634</v>
      </c>
      <c r="AW64" s="155">
        <f t="shared" si="107"/>
        <v>-43852.505251141549</v>
      </c>
      <c r="AX64" s="155">
        <f t="shared" si="107"/>
        <v>-36383.122488584471</v>
      </c>
      <c r="AY64" s="155">
        <f t="shared" si="107"/>
        <v>-29636.583219178079</v>
      </c>
      <c r="AZ64" s="155">
        <f t="shared" si="107"/>
        <v>-22167.200456621005</v>
      </c>
      <c r="BA64" s="155">
        <f t="shared" si="107"/>
        <v>-14938.765525114153</v>
      </c>
      <c r="BB64" s="155">
        <f t="shared" si="107"/>
        <v>-7469.3827625570766</v>
      </c>
      <c r="BC64" s="155">
        <f t="shared" si="107"/>
        <v>-240.9478310502283</v>
      </c>
      <c r="BD64" s="155">
        <f t="shared" si="113"/>
        <v>640853.71</v>
      </c>
      <c r="BE64" s="155">
        <f t="shared" si="34"/>
        <v>1211659.1217579909</v>
      </c>
    </row>
    <row r="65" spans="1:57" x14ac:dyDescent="0.15">
      <c r="A65" s="39" t="s">
        <v>66</v>
      </c>
      <c r="G65" s="155">
        <v>2288327.44</v>
      </c>
      <c r="H65" s="155">
        <f t="shared" si="100"/>
        <v>2288327.44</v>
      </c>
      <c r="I65" s="155">
        <f t="shared" si="100"/>
        <v>2288327.44</v>
      </c>
      <c r="J65" s="155">
        <f t="shared" si="100"/>
        <v>2821476.6325857737</v>
      </c>
      <c r="K65" s="155">
        <f t="shared" si="97"/>
        <v>2821476.6325857737</v>
      </c>
      <c r="L65" s="155">
        <f t="shared" si="97"/>
        <v>2821476.6325857737</v>
      </c>
      <c r="M65" s="155">
        <f t="shared" si="97"/>
        <v>3354625.8251715475</v>
      </c>
      <c r="N65" s="184">
        <f t="shared" si="108"/>
        <v>3354625.8251715475</v>
      </c>
      <c r="O65" s="155">
        <f t="shared" si="109"/>
        <v>3354625.8251715475</v>
      </c>
      <c r="P65" s="155">
        <f t="shared" ref="P65:Z65" si="124">+O65+SUMIF($B$282:$B$328,$A65,P$282:P$328)</f>
        <v>3354625.8251715475</v>
      </c>
      <c r="Q65" s="155">
        <f t="shared" si="124"/>
        <v>3818557.7926780675</v>
      </c>
      <c r="R65" s="155">
        <f t="shared" si="124"/>
        <v>3818557.7926780675</v>
      </c>
      <c r="S65" s="155">
        <f t="shared" si="124"/>
        <v>3818557.7926780675</v>
      </c>
      <c r="T65" s="155">
        <f t="shared" si="124"/>
        <v>4282489.7601845879</v>
      </c>
      <c r="U65" s="155">
        <f t="shared" si="124"/>
        <v>4282489.7601845879</v>
      </c>
      <c r="V65" s="155">
        <f t="shared" si="124"/>
        <v>4282489.7601845879</v>
      </c>
      <c r="W65" s="155">
        <f t="shared" si="124"/>
        <v>4746421.7276911084</v>
      </c>
      <c r="X65" s="155">
        <f t="shared" si="124"/>
        <v>4746421.7276911084</v>
      </c>
      <c r="Y65" s="155">
        <f t="shared" si="124"/>
        <v>4746421.7276911084</v>
      </c>
      <c r="Z65" s="155">
        <f t="shared" si="124"/>
        <v>5210353.6951976288</v>
      </c>
      <c r="AA65" s="184">
        <f t="shared" si="36"/>
        <v>5210353.6951976288</v>
      </c>
      <c r="AB65" s="155">
        <f t="shared" ref="AB65:AM65" si="125">+AA65+SUMIF($B$282:$B$328,$A65,AB$282:AB$328)</f>
        <v>5210353.6951976288</v>
      </c>
      <c r="AC65" s="155">
        <f t="shared" si="125"/>
        <v>5210353.6951976288</v>
      </c>
      <c r="AD65" s="155">
        <f t="shared" si="125"/>
        <v>5549267.3368220301</v>
      </c>
      <c r="AE65" s="155">
        <f t="shared" si="125"/>
        <v>5549267.3368220301</v>
      </c>
      <c r="AF65" s="155">
        <f t="shared" si="125"/>
        <v>5549267.3368220301</v>
      </c>
      <c r="AG65" s="155">
        <f t="shared" si="125"/>
        <v>5888180.9784464315</v>
      </c>
      <c r="AH65" s="155">
        <f t="shared" si="125"/>
        <v>5888180.9784464315</v>
      </c>
      <c r="AI65" s="155">
        <f t="shared" si="125"/>
        <v>5888180.9784464315</v>
      </c>
      <c r="AJ65" s="155">
        <f t="shared" si="125"/>
        <v>6227094.6200708328</v>
      </c>
      <c r="AK65" s="155">
        <f t="shared" si="125"/>
        <v>6227094.6200708328</v>
      </c>
      <c r="AL65" s="155">
        <f t="shared" si="125"/>
        <v>6227094.6200708328</v>
      </c>
      <c r="AM65" s="155">
        <f t="shared" si="125"/>
        <v>6566008.2616952341</v>
      </c>
      <c r="AN65" s="184">
        <f t="shared" si="38"/>
        <v>6566008.2616952341</v>
      </c>
      <c r="AO65" s="155"/>
      <c r="AQ65" s="155">
        <f t="shared" si="112"/>
        <v>3818557.7926780675</v>
      </c>
      <c r="AR65" s="155">
        <f t="shared" si="85"/>
        <v>132371.62038544007</v>
      </c>
      <c r="AS65" s="155">
        <f t="shared" si="86"/>
        <v>120122.30626022026</v>
      </c>
      <c r="AT65" s="155">
        <f t="shared" si="86"/>
        <v>108268.13130033009</v>
      </c>
      <c r="AU65" s="155">
        <f t="shared" si="107"/>
        <v>96018.817175110264</v>
      </c>
      <c r="AV65" s="155">
        <f t="shared" si="107"/>
        <v>84164.642215220112</v>
      </c>
      <c r="AW65" s="155">
        <f t="shared" si="107"/>
        <v>71915.328090000286</v>
      </c>
      <c r="AX65" s="155">
        <f t="shared" si="107"/>
        <v>59666.013964780454</v>
      </c>
      <c r="AY65" s="155">
        <f t="shared" si="107"/>
        <v>48602.117335549643</v>
      </c>
      <c r="AZ65" s="155">
        <f t="shared" si="107"/>
        <v>36352.803210329817</v>
      </c>
      <c r="BA65" s="155">
        <f t="shared" si="107"/>
        <v>24498.628250439655</v>
      </c>
      <c r="BB65" s="155">
        <f t="shared" si="107"/>
        <v>12249.314125219827</v>
      </c>
      <c r="BC65" s="155">
        <f t="shared" si="107"/>
        <v>395.13916532967187</v>
      </c>
      <c r="BD65" s="155">
        <f t="shared" si="113"/>
        <v>5549267.3368220301</v>
      </c>
      <c r="BE65" s="155">
        <f t="shared" si="34"/>
        <v>4613182.6541560385</v>
      </c>
    </row>
    <row r="66" spans="1:57" x14ac:dyDescent="0.15">
      <c r="A66" s="39" t="s">
        <v>67</v>
      </c>
      <c r="G66" s="155">
        <v>132560.22</v>
      </c>
      <c r="H66" s="155">
        <f t="shared" si="100"/>
        <v>132560.22</v>
      </c>
      <c r="I66" s="155">
        <f t="shared" si="100"/>
        <v>132560.22</v>
      </c>
      <c r="J66" s="155">
        <f t="shared" si="100"/>
        <v>132560.22</v>
      </c>
      <c r="K66" s="155">
        <f t="shared" si="97"/>
        <v>132560.22</v>
      </c>
      <c r="L66" s="155">
        <f t="shared" si="97"/>
        <v>132560.22</v>
      </c>
      <c r="M66" s="155">
        <f t="shared" si="97"/>
        <v>132560.22</v>
      </c>
      <c r="N66" s="184">
        <f t="shared" si="108"/>
        <v>132560.22</v>
      </c>
      <c r="O66" s="155">
        <f t="shared" si="109"/>
        <v>132560.22</v>
      </c>
      <c r="P66" s="155">
        <f t="shared" ref="P66:Z66" si="126">+O66+SUMIF($B$282:$B$328,$A66,P$282:P$328)</f>
        <v>132560.22</v>
      </c>
      <c r="Q66" s="155">
        <f t="shared" si="126"/>
        <v>132560.22</v>
      </c>
      <c r="R66" s="155">
        <f t="shared" si="126"/>
        <v>132560.22</v>
      </c>
      <c r="S66" s="155">
        <f t="shared" si="126"/>
        <v>132560.22</v>
      </c>
      <c r="T66" s="155">
        <f t="shared" si="126"/>
        <v>132560.22</v>
      </c>
      <c r="U66" s="155">
        <f t="shared" si="126"/>
        <v>132560.22</v>
      </c>
      <c r="V66" s="155">
        <f t="shared" si="126"/>
        <v>132560.22</v>
      </c>
      <c r="W66" s="155">
        <f t="shared" si="126"/>
        <v>132560.22</v>
      </c>
      <c r="X66" s="155">
        <f t="shared" si="126"/>
        <v>132560.22</v>
      </c>
      <c r="Y66" s="155">
        <f t="shared" si="126"/>
        <v>132560.22</v>
      </c>
      <c r="Z66" s="155">
        <f t="shared" si="126"/>
        <v>132560.22</v>
      </c>
      <c r="AA66" s="184">
        <f t="shared" si="36"/>
        <v>132560.22</v>
      </c>
      <c r="AB66" s="155">
        <f t="shared" ref="AB66:AM66" si="127">+AA66+SUMIF($B$282:$B$328,$A66,AB$282:AB$328)</f>
        <v>132560.22</v>
      </c>
      <c r="AC66" s="155">
        <f t="shared" si="127"/>
        <v>132560.22</v>
      </c>
      <c r="AD66" s="155">
        <f t="shared" si="127"/>
        <v>132560.22</v>
      </c>
      <c r="AE66" s="155">
        <f t="shared" si="127"/>
        <v>132560.22</v>
      </c>
      <c r="AF66" s="155">
        <f t="shared" si="127"/>
        <v>132560.22</v>
      </c>
      <c r="AG66" s="155">
        <f t="shared" si="127"/>
        <v>132560.22</v>
      </c>
      <c r="AH66" s="155">
        <f t="shared" si="127"/>
        <v>132560.22</v>
      </c>
      <c r="AI66" s="155">
        <f t="shared" si="127"/>
        <v>132560.22</v>
      </c>
      <c r="AJ66" s="155">
        <f t="shared" si="127"/>
        <v>132560.22</v>
      </c>
      <c r="AK66" s="155">
        <f t="shared" si="127"/>
        <v>132560.22</v>
      </c>
      <c r="AL66" s="155">
        <f t="shared" si="127"/>
        <v>132560.22</v>
      </c>
      <c r="AM66" s="155">
        <f t="shared" si="127"/>
        <v>132560.22</v>
      </c>
      <c r="AN66" s="184">
        <f t="shared" si="38"/>
        <v>132560.22</v>
      </c>
      <c r="AO66" s="155"/>
      <c r="AQ66" s="155">
        <f t="shared" si="112"/>
        <v>132560.22</v>
      </c>
      <c r="AR66" s="155">
        <f t="shared" si="85"/>
        <v>0</v>
      </c>
      <c r="AS66" s="155">
        <f t="shared" si="86"/>
        <v>0</v>
      </c>
      <c r="AT66" s="155">
        <f t="shared" si="86"/>
        <v>0</v>
      </c>
      <c r="AU66" s="155">
        <f t="shared" si="107"/>
        <v>0</v>
      </c>
      <c r="AV66" s="155">
        <f t="shared" si="107"/>
        <v>0</v>
      </c>
      <c r="AW66" s="155">
        <f t="shared" si="107"/>
        <v>0</v>
      </c>
      <c r="AX66" s="155">
        <f t="shared" si="107"/>
        <v>0</v>
      </c>
      <c r="AY66" s="155">
        <f t="shared" si="107"/>
        <v>0</v>
      </c>
      <c r="AZ66" s="155">
        <f t="shared" si="107"/>
        <v>0</v>
      </c>
      <c r="BA66" s="155">
        <f t="shared" si="107"/>
        <v>0</v>
      </c>
      <c r="BB66" s="155">
        <f t="shared" si="107"/>
        <v>0</v>
      </c>
      <c r="BC66" s="155">
        <f t="shared" si="107"/>
        <v>0</v>
      </c>
      <c r="BD66" s="155">
        <f t="shared" si="113"/>
        <v>132560.22</v>
      </c>
      <c r="BE66" s="155">
        <f t="shared" si="34"/>
        <v>132560.22</v>
      </c>
    </row>
    <row r="67" spans="1:57" x14ac:dyDescent="0.15">
      <c r="A67" s="39" t="s">
        <v>68</v>
      </c>
      <c r="G67" s="155">
        <v>12517874.470000001</v>
      </c>
      <c r="H67" s="155">
        <f t="shared" si="100"/>
        <v>12517874.470000001</v>
      </c>
      <c r="I67" s="155">
        <f t="shared" si="100"/>
        <v>12517874.470000001</v>
      </c>
      <c r="J67" s="155">
        <f t="shared" si="100"/>
        <v>12444409.501469688</v>
      </c>
      <c r="K67" s="155">
        <f t="shared" si="97"/>
        <v>12444409.501469688</v>
      </c>
      <c r="L67" s="155">
        <f t="shared" si="97"/>
        <v>12444409.501469688</v>
      </c>
      <c r="M67" s="155">
        <f t="shared" si="97"/>
        <v>12370944.532939376</v>
      </c>
      <c r="N67" s="184">
        <f t="shared" si="108"/>
        <v>12370944.532939376</v>
      </c>
      <c r="O67" s="155">
        <f t="shared" si="109"/>
        <v>12370944.532939376</v>
      </c>
      <c r="P67" s="155">
        <f t="shared" ref="P67:Z67" si="128">+O67+SUMIF($B$282:$B$328,$A67,P$282:P$328)</f>
        <v>12370944.532939376</v>
      </c>
      <c r="Q67" s="155">
        <f t="shared" si="128"/>
        <v>12297487.911795147</v>
      </c>
      <c r="R67" s="155">
        <f t="shared" si="128"/>
        <v>12297487.911795147</v>
      </c>
      <c r="S67" s="155">
        <f t="shared" si="128"/>
        <v>12297487.911795147</v>
      </c>
      <c r="T67" s="155">
        <f t="shared" si="128"/>
        <v>12224031.290650917</v>
      </c>
      <c r="U67" s="155">
        <f t="shared" si="128"/>
        <v>12224031.290650917</v>
      </c>
      <c r="V67" s="155">
        <f t="shared" si="128"/>
        <v>12224031.290650917</v>
      </c>
      <c r="W67" s="155">
        <f t="shared" si="128"/>
        <v>12150574.669506688</v>
      </c>
      <c r="X67" s="155">
        <f t="shared" si="128"/>
        <v>12150574.669506688</v>
      </c>
      <c r="Y67" s="155">
        <f t="shared" si="128"/>
        <v>12150574.669506688</v>
      </c>
      <c r="Z67" s="155">
        <f t="shared" si="128"/>
        <v>12077118.048362458</v>
      </c>
      <c r="AA67" s="184">
        <f t="shared" si="36"/>
        <v>12077118.048362458</v>
      </c>
      <c r="AB67" s="155">
        <f t="shared" ref="AB67:AM67" si="129">+AA67+SUMIF($B$282:$B$328,$A67,AB$282:AB$328)</f>
        <v>12077118.048362458</v>
      </c>
      <c r="AC67" s="155">
        <f t="shared" si="129"/>
        <v>12077118.048362458</v>
      </c>
      <c r="AD67" s="155">
        <f t="shared" si="129"/>
        <v>12003460.176201396</v>
      </c>
      <c r="AE67" s="155">
        <f t="shared" si="129"/>
        <v>12003460.176201396</v>
      </c>
      <c r="AF67" s="155">
        <f t="shared" si="129"/>
        <v>12003460.176201396</v>
      </c>
      <c r="AG67" s="155">
        <f t="shared" si="129"/>
        <v>11929802.304040333</v>
      </c>
      <c r="AH67" s="155">
        <f t="shared" si="129"/>
        <v>11929802.304040333</v>
      </c>
      <c r="AI67" s="155">
        <f t="shared" si="129"/>
        <v>11929802.304040333</v>
      </c>
      <c r="AJ67" s="155">
        <f t="shared" si="129"/>
        <v>11856144.431879271</v>
      </c>
      <c r="AK67" s="155">
        <f t="shared" si="129"/>
        <v>11856144.431879271</v>
      </c>
      <c r="AL67" s="155">
        <f t="shared" si="129"/>
        <v>11856144.431879271</v>
      </c>
      <c r="AM67" s="155">
        <f t="shared" si="129"/>
        <v>11782486.559718208</v>
      </c>
      <c r="AN67" s="184">
        <f t="shared" si="38"/>
        <v>11782486.559718208</v>
      </c>
      <c r="AO67" s="155"/>
      <c r="AQ67" s="155">
        <f t="shared" si="112"/>
        <v>12297487.911795147</v>
      </c>
      <c r="AR67" s="155">
        <f t="shared" si="85"/>
        <v>-22488.42269952206</v>
      </c>
      <c r="AS67" s="155">
        <f t="shared" si="86"/>
        <v>-20407.404479566285</v>
      </c>
      <c r="AT67" s="155">
        <f t="shared" si="86"/>
        <v>-18393.515879609087</v>
      </c>
      <c r="AU67" s="155">
        <f t="shared" si="107"/>
        <v>-16312.497659653314</v>
      </c>
      <c r="AV67" s="155">
        <f t="shared" si="107"/>
        <v>-14298.609059696115</v>
      </c>
      <c r="AW67" s="155">
        <f t="shared" si="107"/>
        <v>-12217.590839740342</v>
      </c>
      <c r="AX67" s="155">
        <f t="shared" si="107"/>
        <v>-10136.572619784571</v>
      </c>
      <c r="AY67" s="155">
        <f t="shared" si="107"/>
        <v>-8256.9432598245166</v>
      </c>
      <c r="AZ67" s="155">
        <f t="shared" si="107"/>
        <v>-6175.9250398687445</v>
      </c>
      <c r="BA67" s="155">
        <f t="shared" si="107"/>
        <v>-4162.0364399115451</v>
      </c>
      <c r="BB67" s="155">
        <f t="shared" si="107"/>
        <v>-2081.0182199557726</v>
      </c>
      <c r="BC67" s="155">
        <f t="shared" si="107"/>
        <v>-67.129619998573304</v>
      </c>
      <c r="BD67" s="155">
        <f t="shared" si="113"/>
        <v>12003460.176201396</v>
      </c>
      <c r="BE67" s="155">
        <f t="shared" si="34"/>
        <v>12162490.245978015</v>
      </c>
    </row>
    <row r="68" spans="1:57" x14ac:dyDescent="0.15">
      <c r="A68" s="39" t="s">
        <v>69</v>
      </c>
      <c r="G68" s="155">
        <v>-12655120.210000001</v>
      </c>
      <c r="H68" s="155">
        <f t="shared" si="100"/>
        <v>-12655120.210000001</v>
      </c>
      <c r="I68" s="155">
        <f t="shared" si="100"/>
        <v>-12655120.210000001</v>
      </c>
      <c r="J68" s="155">
        <f t="shared" si="100"/>
        <v>-12532565.575910859</v>
      </c>
      <c r="K68" s="155">
        <f t="shared" si="97"/>
        <v>-12532565.575910859</v>
      </c>
      <c r="L68" s="155">
        <f t="shared" si="97"/>
        <v>-12532565.575910859</v>
      </c>
      <c r="M68" s="155">
        <f t="shared" si="97"/>
        <v>-12410010.941821717</v>
      </c>
      <c r="N68" s="184">
        <f t="shared" si="108"/>
        <v>-12410010.941821717</v>
      </c>
      <c r="O68" s="155">
        <f t="shared" si="109"/>
        <v>-12410010.941821717</v>
      </c>
      <c r="P68" s="155">
        <f t="shared" ref="P68:Z68" si="130">+O68+SUMIF($B$282:$B$328,$A68,P$282:P$328)</f>
        <v>-12410010.941821717</v>
      </c>
      <c r="Q68" s="155">
        <f t="shared" si="130"/>
        <v>-12287456.30551737</v>
      </c>
      <c r="R68" s="155">
        <f t="shared" si="130"/>
        <v>-12287456.30551737</v>
      </c>
      <c r="S68" s="155">
        <f t="shared" si="130"/>
        <v>-12287456.30551737</v>
      </c>
      <c r="T68" s="155">
        <f t="shared" si="130"/>
        <v>-12164901.669213023</v>
      </c>
      <c r="U68" s="155">
        <f t="shared" si="130"/>
        <v>-12164901.669213023</v>
      </c>
      <c r="V68" s="155">
        <f t="shared" si="130"/>
        <v>-12164901.669213023</v>
      </c>
      <c r="W68" s="155">
        <f t="shared" si="130"/>
        <v>-12042347.032908676</v>
      </c>
      <c r="X68" s="155">
        <f t="shared" si="130"/>
        <v>-12042347.032908676</v>
      </c>
      <c r="Y68" s="155">
        <f t="shared" si="130"/>
        <v>-12042347.032908676</v>
      </c>
      <c r="Z68" s="155">
        <f t="shared" si="130"/>
        <v>-11919792.396604329</v>
      </c>
      <c r="AA68" s="184">
        <f t="shared" si="36"/>
        <v>-11919792.396604329</v>
      </c>
      <c r="AB68" s="155">
        <f t="shared" ref="AB68:AM68" si="131">+AA68+SUMIF($B$282:$B$328,$A68,AB$282:AB$328)</f>
        <v>-11919792.396604329</v>
      </c>
      <c r="AC68" s="155">
        <f t="shared" si="131"/>
        <v>-11919792.396604329</v>
      </c>
      <c r="AD68" s="155">
        <f t="shared" si="131"/>
        <v>-11796901.994173121</v>
      </c>
      <c r="AE68" s="155">
        <f t="shared" si="131"/>
        <v>-11796901.994173121</v>
      </c>
      <c r="AF68" s="155">
        <f t="shared" si="131"/>
        <v>-11796901.994173121</v>
      </c>
      <c r="AG68" s="155">
        <f t="shared" si="131"/>
        <v>-11674011.591741912</v>
      </c>
      <c r="AH68" s="155">
        <f t="shared" si="131"/>
        <v>-11674011.591741912</v>
      </c>
      <c r="AI68" s="155">
        <f t="shared" si="131"/>
        <v>-11674011.591741912</v>
      </c>
      <c r="AJ68" s="155">
        <f t="shared" si="131"/>
        <v>-11551121.189310703</v>
      </c>
      <c r="AK68" s="155">
        <f t="shared" si="131"/>
        <v>-11551121.189310703</v>
      </c>
      <c r="AL68" s="155">
        <f t="shared" si="131"/>
        <v>-11551121.189310703</v>
      </c>
      <c r="AM68" s="155">
        <f t="shared" si="131"/>
        <v>-11428230.786879495</v>
      </c>
      <c r="AN68" s="184">
        <f t="shared" si="38"/>
        <v>-11428230.786879495</v>
      </c>
      <c r="AO68" s="155"/>
      <c r="AQ68" s="155">
        <f t="shared" si="112"/>
        <v>-12287456.30551737</v>
      </c>
      <c r="AR68" s="155">
        <f t="shared" si="85"/>
        <v>37519.564908749657</v>
      </c>
      <c r="AS68" s="155">
        <f t="shared" si="86"/>
        <v>34047.605170925061</v>
      </c>
      <c r="AT68" s="155">
        <f t="shared" si="86"/>
        <v>30687.644134320613</v>
      </c>
      <c r="AU68" s="155">
        <f t="shared" si="107"/>
        <v>27215.684396496021</v>
      </c>
      <c r="AV68" s="155">
        <f t="shared" si="107"/>
        <v>23855.723359891574</v>
      </c>
      <c r="AW68" s="155">
        <f t="shared" si="107"/>
        <v>20383.763622066977</v>
      </c>
      <c r="AX68" s="155">
        <f t="shared" si="107"/>
        <v>16911.803884242381</v>
      </c>
      <c r="AY68" s="155">
        <f t="shared" si="107"/>
        <v>13775.84025007823</v>
      </c>
      <c r="AZ68" s="155">
        <f t="shared" si="107"/>
        <v>10303.880512253638</v>
      </c>
      <c r="BA68" s="155">
        <f t="shared" si="107"/>
        <v>6943.9194756491897</v>
      </c>
      <c r="BB68" s="155">
        <f t="shared" si="107"/>
        <v>3471.9597378245949</v>
      </c>
      <c r="BC68" s="155">
        <f t="shared" si="107"/>
        <v>111.99870122014822</v>
      </c>
      <c r="BD68" s="155">
        <f t="shared" si="113"/>
        <v>-11796901.994173121</v>
      </c>
      <c r="BE68" s="155">
        <f t="shared" si="34"/>
        <v>-12062226.917363651</v>
      </c>
    </row>
    <row r="69" spans="1:57" x14ac:dyDescent="0.15">
      <c r="A69" s="39" t="s">
        <v>653</v>
      </c>
      <c r="G69" s="155">
        <v>3853</v>
      </c>
      <c r="H69" s="155">
        <f t="shared" si="100"/>
        <v>3853</v>
      </c>
      <c r="I69" s="155">
        <f t="shared" si="100"/>
        <v>3853</v>
      </c>
      <c r="J69" s="155">
        <f t="shared" si="100"/>
        <v>3853</v>
      </c>
      <c r="K69" s="155">
        <f t="shared" si="97"/>
        <v>3853</v>
      </c>
      <c r="L69" s="155">
        <f t="shared" si="97"/>
        <v>3853</v>
      </c>
      <c r="M69" s="155">
        <f t="shared" si="97"/>
        <v>3853</v>
      </c>
      <c r="N69" s="184">
        <f t="shared" si="108"/>
        <v>3853</v>
      </c>
      <c r="O69" s="155">
        <f t="shared" si="109"/>
        <v>3853</v>
      </c>
      <c r="P69" s="155">
        <f t="shared" ref="P69:Z69" si="132">+O69+SUMIF($B$282:$B$328,$A69,P$282:P$328)</f>
        <v>3853</v>
      </c>
      <c r="Q69" s="155">
        <f t="shared" si="132"/>
        <v>3853</v>
      </c>
      <c r="R69" s="155">
        <f t="shared" si="132"/>
        <v>3853</v>
      </c>
      <c r="S69" s="155">
        <f t="shared" si="132"/>
        <v>3853</v>
      </c>
      <c r="T69" s="155">
        <f t="shared" si="132"/>
        <v>3853</v>
      </c>
      <c r="U69" s="155">
        <f t="shared" si="132"/>
        <v>3853</v>
      </c>
      <c r="V69" s="155">
        <f t="shared" si="132"/>
        <v>3853</v>
      </c>
      <c r="W69" s="155">
        <f t="shared" si="132"/>
        <v>3853</v>
      </c>
      <c r="X69" s="155">
        <f t="shared" si="132"/>
        <v>3853</v>
      </c>
      <c r="Y69" s="155">
        <f t="shared" si="132"/>
        <v>3853</v>
      </c>
      <c r="Z69" s="155">
        <f t="shared" si="132"/>
        <v>3853</v>
      </c>
      <c r="AA69" s="184">
        <f>+Z69</f>
        <v>3853</v>
      </c>
      <c r="AB69" s="155">
        <f t="shared" ref="AB69:AM69" si="133">+AA69+SUMIF($B$282:$B$328,$A69,AB$282:AB$328)</f>
        <v>3853</v>
      </c>
      <c r="AC69" s="155">
        <f t="shared" si="133"/>
        <v>3853</v>
      </c>
      <c r="AD69" s="155">
        <f t="shared" si="133"/>
        <v>3853</v>
      </c>
      <c r="AE69" s="155">
        <f t="shared" si="133"/>
        <v>3853</v>
      </c>
      <c r="AF69" s="155">
        <f t="shared" si="133"/>
        <v>3853</v>
      </c>
      <c r="AG69" s="155">
        <f t="shared" si="133"/>
        <v>3853</v>
      </c>
      <c r="AH69" s="155">
        <f t="shared" si="133"/>
        <v>3853</v>
      </c>
      <c r="AI69" s="155">
        <f t="shared" si="133"/>
        <v>3853</v>
      </c>
      <c r="AJ69" s="155">
        <f t="shared" si="133"/>
        <v>3853</v>
      </c>
      <c r="AK69" s="155">
        <f t="shared" si="133"/>
        <v>3853</v>
      </c>
      <c r="AL69" s="155">
        <f t="shared" si="133"/>
        <v>3853</v>
      </c>
      <c r="AM69" s="155">
        <f t="shared" si="133"/>
        <v>3853</v>
      </c>
      <c r="AN69" s="184">
        <f>+AM69</f>
        <v>3853</v>
      </c>
      <c r="AO69" s="155"/>
      <c r="AQ69" s="155">
        <f t="shared" si="112"/>
        <v>3853</v>
      </c>
      <c r="AR69" s="155">
        <f t="shared" si="85"/>
        <v>0</v>
      </c>
      <c r="AS69" s="155">
        <f t="shared" si="86"/>
        <v>0</v>
      </c>
      <c r="AT69" s="155">
        <f t="shared" si="86"/>
        <v>0</v>
      </c>
      <c r="AU69" s="155">
        <f t="shared" si="107"/>
        <v>0</v>
      </c>
      <c r="AV69" s="155">
        <f t="shared" si="107"/>
        <v>0</v>
      </c>
      <c r="AW69" s="155">
        <f t="shared" si="107"/>
        <v>0</v>
      </c>
      <c r="AX69" s="155">
        <f t="shared" si="107"/>
        <v>0</v>
      </c>
      <c r="AY69" s="155">
        <f t="shared" si="107"/>
        <v>0</v>
      </c>
      <c r="AZ69" s="155">
        <f t="shared" si="107"/>
        <v>0</v>
      </c>
      <c r="BA69" s="155">
        <f t="shared" si="107"/>
        <v>0</v>
      </c>
      <c r="BB69" s="155">
        <f t="shared" si="107"/>
        <v>0</v>
      </c>
      <c r="BC69" s="155">
        <f t="shared" si="107"/>
        <v>0</v>
      </c>
      <c r="BD69" s="155">
        <f t="shared" si="113"/>
        <v>3853</v>
      </c>
      <c r="BE69" s="155">
        <f t="shared" si="34"/>
        <v>3853</v>
      </c>
    </row>
    <row r="70" spans="1:57" x14ac:dyDescent="0.15">
      <c r="A70" s="39" t="s">
        <v>70</v>
      </c>
      <c r="G70" s="155">
        <v>0.1</v>
      </c>
      <c r="H70" s="155">
        <f t="shared" si="100"/>
        <v>0.1</v>
      </c>
      <c r="I70" s="155">
        <f t="shared" si="100"/>
        <v>0.1</v>
      </c>
      <c r="J70" s="155">
        <f t="shared" si="100"/>
        <v>0.1</v>
      </c>
      <c r="K70" s="155">
        <f t="shared" si="97"/>
        <v>0.1</v>
      </c>
      <c r="L70" s="155">
        <f t="shared" si="97"/>
        <v>0.1</v>
      </c>
      <c r="M70" s="155">
        <f t="shared" si="97"/>
        <v>0.1</v>
      </c>
      <c r="N70" s="184">
        <f t="shared" si="108"/>
        <v>0.1</v>
      </c>
      <c r="O70" s="155">
        <f t="shared" si="109"/>
        <v>0.1</v>
      </c>
      <c r="P70" s="155">
        <f t="shared" ref="P70:Z70" si="134">+O70+SUMIF($B$282:$B$328,$A70,P$282:P$328)</f>
        <v>0.1</v>
      </c>
      <c r="Q70" s="155">
        <f t="shared" si="134"/>
        <v>0.1</v>
      </c>
      <c r="R70" s="155">
        <f t="shared" si="134"/>
        <v>0.1</v>
      </c>
      <c r="S70" s="155">
        <f t="shared" si="134"/>
        <v>0.1</v>
      </c>
      <c r="T70" s="155">
        <f t="shared" si="134"/>
        <v>0.1</v>
      </c>
      <c r="U70" s="155">
        <f t="shared" si="134"/>
        <v>0.1</v>
      </c>
      <c r="V70" s="155">
        <f t="shared" si="134"/>
        <v>0.1</v>
      </c>
      <c r="W70" s="155">
        <f t="shared" si="134"/>
        <v>0.1</v>
      </c>
      <c r="X70" s="155">
        <f t="shared" si="134"/>
        <v>0.1</v>
      </c>
      <c r="Y70" s="155">
        <f t="shared" si="134"/>
        <v>0.1</v>
      </c>
      <c r="Z70" s="155">
        <f t="shared" si="134"/>
        <v>0.1</v>
      </c>
      <c r="AA70" s="184">
        <f t="shared" si="36"/>
        <v>0.1</v>
      </c>
      <c r="AB70" s="155">
        <f t="shared" ref="AB70:AM70" si="135">+AA70+SUMIF($B$282:$B$328,$A70,AB$282:AB$328)</f>
        <v>0.1</v>
      </c>
      <c r="AC70" s="155">
        <f t="shared" si="135"/>
        <v>0.1</v>
      </c>
      <c r="AD70" s="155">
        <f t="shared" si="135"/>
        <v>0.1</v>
      </c>
      <c r="AE70" s="155">
        <f t="shared" si="135"/>
        <v>0.1</v>
      </c>
      <c r="AF70" s="155">
        <f t="shared" si="135"/>
        <v>0.1</v>
      </c>
      <c r="AG70" s="155">
        <f t="shared" si="135"/>
        <v>0.1</v>
      </c>
      <c r="AH70" s="155">
        <f t="shared" si="135"/>
        <v>0.1</v>
      </c>
      <c r="AI70" s="155">
        <f t="shared" si="135"/>
        <v>0.1</v>
      </c>
      <c r="AJ70" s="155">
        <f t="shared" si="135"/>
        <v>0.1</v>
      </c>
      <c r="AK70" s="155">
        <f t="shared" si="135"/>
        <v>0.1</v>
      </c>
      <c r="AL70" s="155">
        <f t="shared" si="135"/>
        <v>0.1</v>
      </c>
      <c r="AM70" s="155">
        <f t="shared" si="135"/>
        <v>0.1</v>
      </c>
      <c r="AN70" s="184">
        <f t="shared" si="38"/>
        <v>0.1</v>
      </c>
      <c r="AO70" s="155"/>
      <c r="AQ70" s="155">
        <f t="shared" si="112"/>
        <v>0.1</v>
      </c>
      <c r="AR70" s="155">
        <f t="shared" si="85"/>
        <v>0</v>
      </c>
      <c r="AS70" s="155">
        <f t="shared" si="86"/>
        <v>0</v>
      </c>
      <c r="AT70" s="155">
        <f t="shared" si="86"/>
        <v>0</v>
      </c>
      <c r="AU70" s="155">
        <f t="shared" si="107"/>
        <v>0</v>
      </c>
      <c r="AV70" s="155">
        <f t="shared" si="107"/>
        <v>0</v>
      </c>
      <c r="AW70" s="155">
        <f t="shared" si="107"/>
        <v>0</v>
      </c>
      <c r="AX70" s="155">
        <f t="shared" si="107"/>
        <v>0</v>
      </c>
      <c r="AY70" s="155">
        <f t="shared" si="107"/>
        <v>0</v>
      </c>
      <c r="AZ70" s="155">
        <f t="shared" si="107"/>
        <v>0</v>
      </c>
      <c r="BA70" s="155">
        <f t="shared" si="107"/>
        <v>0</v>
      </c>
      <c r="BB70" s="155">
        <f t="shared" si="107"/>
        <v>0</v>
      </c>
      <c r="BC70" s="155">
        <f t="shared" si="107"/>
        <v>0</v>
      </c>
      <c r="BD70" s="155">
        <f t="shared" si="113"/>
        <v>0.1</v>
      </c>
      <c r="BE70" s="155">
        <f t="shared" si="34"/>
        <v>0.1</v>
      </c>
    </row>
    <row r="71" spans="1:57" x14ac:dyDescent="0.15">
      <c r="A71" s="39" t="s">
        <v>269</v>
      </c>
      <c r="G71" s="155">
        <f>12799951.98</f>
        <v>12799951.98</v>
      </c>
      <c r="H71" s="155">
        <f t="shared" si="100"/>
        <v>12799951.98</v>
      </c>
      <c r="I71" s="155">
        <f t="shared" si="100"/>
        <v>12799951.98</v>
      </c>
      <c r="J71" s="155">
        <f>+I71+SUMIF($B$282:$B$328,$A71,J$282:J$328)+3592523-652523</f>
        <v>12571285.955354339</v>
      </c>
      <c r="K71" s="155">
        <f t="shared" si="97"/>
        <v>12571285.955354339</v>
      </c>
      <c r="L71" s="155">
        <f t="shared" si="97"/>
        <v>12571285.955354339</v>
      </c>
      <c r="M71" s="155">
        <f t="shared" si="97"/>
        <v>7248413.3276917441</v>
      </c>
      <c r="N71" s="184">
        <f t="shared" si="108"/>
        <v>7248413.3276917441</v>
      </c>
      <c r="O71" s="155">
        <f t="shared" si="109"/>
        <v>7248413.3276917441</v>
      </c>
      <c r="P71" s="155">
        <f t="shared" ref="P71:Y71" si="136">+O71+SUMIF($B$282:$B$328,$A71,P$282:P$328)</f>
        <v>7248413.3276917441</v>
      </c>
      <c r="Q71" s="155">
        <f t="shared" si="136"/>
        <v>5742505.1074028723</v>
      </c>
      <c r="R71" s="155">
        <f t="shared" si="136"/>
        <v>5742505.1074028723</v>
      </c>
      <c r="S71" s="155">
        <f t="shared" si="136"/>
        <v>5742505.1074028723</v>
      </c>
      <c r="T71" s="155">
        <f t="shared" si="136"/>
        <v>4236596.8871390261</v>
      </c>
      <c r="U71" s="155">
        <f t="shared" si="136"/>
        <v>4236596.8871390261</v>
      </c>
      <c r="V71" s="155">
        <f t="shared" si="136"/>
        <v>4236596.8871390261</v>
      </c>
      <c r="W71" s="155">
        <f t="shared" si="136"/>
        <v>2730688.666948013</v>
      </c>
      <c r="X71" s="155">
        <f t="shared" si="136"/>
        <v>2730688.666948013</v>
      </c>
      <c r="Y71" s="155">
        <f t="shared" si="136"/>
        <v>2730688.666948013</v>
      </c>
      <c r="Z71" s="155">
        <f>+Y71+SUMIF($B$282:$B$328,$A71,Z$282:Z$328)-386705</f>
        <v>838075.44683642033</v>
      </c>
      <c r="AA71" s="184">
        <f t="shared" si="36"/>
        <v>838075.44683642033</v>
      </c>
      <c r="AB71" s="155">
        <f t="shared" ref="AB71:AM71" si="137">+AA71+SUMIF($B$282:$B$328,$A71,AB$282:AB$328)</f>
        <v>838075.44683642033</v>
      </c>
      <c r="AC71" s="155">
        <f t="shared" si="137"/>
        <v>838075.44683642033</v>
      </c>
      <c r="AD71" s="155">
        <f t="shared" si="137"/>
        <v>628556.4995440949</v>
      </c>
      <c r="AE71" s="155">
        <f t="shared" si="137"/>
        <v>628556.4995440949</v>
      </c>
      <c r="AF71" s="155">
        <f t="shared" si="137"/>
        <v>628556.4995440949</v>
      </c>
      <c r="AG71" s="155">
        <f t="shared" si="137"/>
        <v>419037.55225176946</v>
      </c>
      <c r="AH71" s="155">
        <f t="shared" si="137"/>
        <v>419037.55225176946</v>
      </c>
      <c r="AI71" s="155">
        <f t="shared" si="137"/>
        <v>419037.55225176946</v>
      </c>
      <c r="AJ71" s="155">
        <f t="shared" si="137"/>
        <v>209518.60495944403</v>
      </c>
      <c r="AK71" s="155">
        <f t="shared" si="137"/>
        <v>209518.60495944403</v>
      </c>
      <c r="AL71" s="155">
        <f t="shared" si="137"/>
        <v>209518.60495944403</v>
      </c>
      <c r="AM71" s="155">
        <f t="shared" si="137"/>
        <v>-0.34233288140967488</v>
      </c>
      <c r="AN71" s="184">
        <f t="shared" si="38"/>
        <v>-0.34233288140967488</v>
      </c>
      <c r="AO71" s="155"/>
      <c r="AQ71" s="155">
        <f t="shared" si="112"/>
        <v>5742505.1074028723</v>
      </c>
      <c r="AR71" s="155">
        <f t="shared" si="85"/>
        <v>-391135.33872892475</v>
      </c>
      <c r="AS71" s="155">
        <f t="shared" si="86"/>
        <v>-354940.72529430781</v>
      </c>
      <c r="AT71" s="155">
        <f t="shared" si="86"/>
        <v>-319913.68003500113</v>
      </c>
      <c r="AU71" s="155">
        <f>($BD71-$AQ71)/12*AU$6</f>
        <v>-283719.06660038425</v>
      </c>
      <c r="AV71" s="155">
        <f>($BD71-$AQ71)/12*AV$6</f>
        <v>-248692.02134107755</v>
      </c>
      <c r="AW71" s="155">
        <f t="shared" ref="AS71:BC94" si="138">($BD71-$AQ71)/12*AW$6</f>
        <v>-212497.4079064606</v>
      </c>
      <c r="AX71" s="155">
        <f t="shared" si="138"/>
        <v>-176302.79447184369</v>
      </c>
      <c r="AY71" s="155">
        <f t="shared" si="138"/>
        <v>-143610.88556315744</v>
      </c>
      <c r="AZ71" s="155">
        <f t="shared" si="138"/>
        <v>-107416.27212854053</v>
      </c>
      <c r="BA71" s="155">
        <f t="shared" si="138"/>
        <v>-72389.226869233826</v>
      </c>
      <c r="BB71" s="155">
        <f t="shared" si="138"/>
        <v>-36194.613434616913</v>
      </c>
      <c r="BC71" s="155">
        <f t="shared" si="138"/>
        <v>-1167.5681753102231</v>
      </c>
      <c r="BD71" s="155">
        <f t="shared" si="113"/>
        <v>628556.4995440949</v>
      </c>
      <c r="BE71" s="155">
        <f t="shared" si="34"/>
        <v>3394525.5068540126</v>
      </c>
    </row>
    <row r="72" spans="1:57" x14ac:dyDescent="0.15">
      <c r="A72" s="39" t="s">
        <v>270</v>
      </c>
      <c r="G72" s="155">
        <v>0</v>
      </c>
      <c r="H72" s="155">
        <f t="shared" si="100"/>
        <v>0</v>
      </c>
      <c r="I72" s="155">
        <f t="shared" si="100"/>
        <v>0</v>
      </c>
      <c r="J72" s="155">
        <f t="shared" si="100"/>
        <v>0</v>
      </c>
      <c r="K72" s="155">
        <f t="shared" si="97"/>
        <v>0</v>
      </c>
      <c r="L72" s="155">
        <f t="shared" si="97"/>
        <v>0</v>
      </c>
      <c r="M72" s="155">
        <f t="shared" si="97"/>
        <v>0</v>
      </c>
      <c r="N72" s="184">
        <f t="shared" si="108"/>
        <v>0</v>
      </c>
      <c r="O72" s="155">
        <f t="shared" si="109"/>
        <v>0</v>
      </c>
      <c r="P72" s="155">
        <f t="shared" ref="P72:Z72" si="139">+O72+SUMIF($B$282:$B$328,$A72,P$282:P$328)</f>
        <v>0</v>
      </c>
      <c r="Q72" s="155">
        <f t="shared" si="139"/>
        <v>0</v>
      </c>
      <c r="R72" s="155">
        <f t="shared" si="139"/>
        <v>0</v>
      </c>
      <c r="S72" s="155">
        <f t="shared" si="139"/>
        <v>0</v>
      </c>
      <c r="T72" s="155">
        <f t="shared" si="139"/>
        <v>0</v>
      </c>
      <c r="U72" s="155">
        <f t="shared" si="139"/>
        <v>0</v>
      </c>
      <c r="V72" s="155">
        <f t="shared" si="139"/>
        <v>0</v>
      </c>
      <c r="W72" s="155">
        <f t="shared" si="139"/>
        <v>0</v>
      </c>
      <c r="X72" s="155">
        <f t="shared" si="139"/>
        <v>0</v>
      </c>
      <c r="Y72" s="155">
        <f t="shared" si="139"/>
        <v>0</v>
      </c>
      <c r="Z72" s="155">
        <f t="shared" si="139"/>
        <v>0</v>
      </c>
      <c r="AA72" s="184">
        <f t="shared" si="36"/>
        <v>0</v>
      </c>
      <c r="AB72" s="155">
        <f t="shared" ref="AB72:AM72" si="140">+AA72+SUMIF($B$282:$B$328,$A72,AB$282:AB$328)</f>
        <v>0</v>
      </c>
      <c r="AC72" s="155">
        <f t="shared" si="140"/>
        <v>0</v>
      </c>
      <c r="AD72" s="155">
        <f t="shared" si="140"/>
        <v>0</v>
      </c>
      <c r="AE72" s="155">
        <f t="shared" si="140"/>
        <v>0</v>
      </c>
      <c r="AF72" s="155">
        <f t="shared" si="140"/>
        <v>0</v>
      </c>
      <c r="AG72" s="155">
        <f t="shared" si="140"/>
        <v>0</v>
      </c>
      <c r="AH72" s="155">
        <f t="shared" si="140"/>
        <v>0</v>
      </c>
      <c r="AI72" s="155">
        <f t="shared" si="140"/>
        <v>0</v>
      </c>
      <c r="AJ72" s="155">
        <f t="shared" si="140"/>
        <v>0</v>
      </c>
      <c r="AK72" s="155">
        <f t="shared" si="140"/>
        <v>0</v>
      </c>
      <c r="AL72" s="155">
        <f t="shared" si="140"/>
        <v>0</v>
      </c>
      <c r="AM72" s="155">
        <f t="shared" si="140"/>
        <v>0</v>
      </c>
      <c r="AN72" s="184">
        <f t="shared" si="38"/>
        <v>0</v>
      </c>
      <c r="AO72" s="155"/>
      <c r="AQ72" s="155">
        <f t="shared" si="112"/>
        <v>0</v>
      </c>
      <c r="AR72" s="155">
        <f t="shared" si="85"/>
        <v>0</v>
      </c>
      <c r="AS72" s="155">
        <f t="shared" si="138"/>
        <v>0</v>
      </c>
      <c r="AT72" s="155">
        <f t="shared" si="138"/>
        <v>0</v>
      </c>
      <c r="AU72" s="155">
        <f t="shared" si="138"/>
        <v>0</v>
      </c>
      <c r="AV72" s="155">
        <f t="shared" si="138"/>
        <v>0</v>
      </c>
      <c r="AW72" s="155">
        <f t="shared" si="138"/>
        <v>0</v>
      </c>
      <c r="AX72" s="155">
        <f t="shared" si="138"/>
        <v>0</v>
      </c>
      <c r="AY72" s="155">
        <f t="shared" si="138"/>
        <v>0</v>
      </c>
      <c r="AZ72" s="155">
        <f t="shared" si="138"/>
        <v>0</v>
      </c>
      <c r="BA72" s="155">
        <f t="shared" si="138"/>
        <v>0</v>
      </c>
      <c r="BB72" s="155">
        <f t="shared" si="138"/>
        <v>0</v>
      </c>
      <c r="BC72" s="155">
        <f t="shared" si="138"/>
        <v>0</v>
      </c>
      <c r="BD72" s="155">
        <f t="shared" si="113"/>
        <v>0</v>
      </c>
      <c r="BE72" s="155">
        <f t="shared" si="34"/>
        <v>0</v>
      </c>
    </row>
    <row r="73" spans="1:57" x14ac:dyDescent="0.15">
      <c r="A73" s="39" t="s">
        <v>271</v>
      </c>
      <c r="G73" s="155">
        <v>17680.32</v>
      </c>
      <c r="H73" s="155">
        <f t="shared" si="100"/>
        <v>17680.32</v>
      </c>
      <c r="I73" s="155">
        <f t="shared" si="100"/>
        <v>17680.32</v>
      </c>
      <c r="J73" s="155">
        <f t="shared" si="100"/>
        <v>18365.136340945352</v>
      </c>
      <c r="K73" s="155">
        <f t="shared" si="97"/>
        <v>18365.136340945352</v>
      </c>
      <c r="L73" s="155">
        <f t="shared" si="97"/>
        <v>18365.136340945352</v>
      </c>
      <c r="M73" s="155">
        <f t="shared" si="97"/>
        <v>19049.952681890703</v>
      </c>
      <c r="N73" s="184">
        <f t="shared" si="108"/>
        <v>19049.952681890703</v>
      </c>
      <c r="O73" s="155">
        <f t="shared" si="109"/>
        <v>19049.952681890703</v>
      </c>
      <c r="P73" s="155">
        <f t="shared" ref="P73:Z73" si="141">+O73+SUMIF($B$282:$B$328,$A73,P$282:P$328)</f>
        <v>19049.952681890703</v>
      </c>
      <c r="Q73" s="155">
        <f t="shared" si="141"/>
        <v>6439.815646288369</v>
      </c>
      <c r="R73" s="155">
        <f t="shared" si="141"/>
        <v>6439.815646288369</v>
      </c>
      <c r="S73" s="155">
        <f t="shared" si="141"/>
        <v>6439.815646288369</v>
      </c>
      <c r="T73" s="155">
        <f t="shared" si="141"/>
        <v>-6170.3213893139655</v>
      </c>
      <c r="U73" s="155">
        <f t="shared" si="141"/>
        <v>-6170.3213893139655</v>
      </c>
      <c r="V73" s="155">
        <f t="shared" si="141"/>
        <v>-6170.3213893139655</v>
      </c>
      <c r="W73" s="155">
        <f t="shared" si="141"/>
        <v>-18780.458424916302</v>
      </c>
      <c r="X73" s="155">
        <f t="shared" si="141"/>
        <v>-18780.458424916302</v>
      </c>
      <c r="Y73" s="155">
        <f t="shared" si="141"/>
        <v>-18780.458424916302</v>
      </c>
      <c r="Z73" s="155">
        <f t="shared" si="141"/>
        <v>-31390.595460518634</v>
      </c>
      <c r="AA73" s="184">
        <f t="shared" si="36"/>
        <v>-31390.595460518634</v>
      </c>
      <c r="AB73" s="155">
        <f t="shared" ref="AB73:AM73" si="142">+AA73+SUMIF($B$282:$B$328,$A73,AB$282:AB$328)</f>
        <v>-31390.595460518634</v>
      </c>
      <c r="AC73" s="155">
        <f t="shared" si="142"/>
        <v>-31390.595460518634</v>
      </c>
      <c r="AD73" s="155">
        <f t="shared" si="142"/>
        <v>-26690.668814184039</v>
      </c>
      <c r="AE73" s="155">
        <f t="shared" si="142"/>
        <v>-26690.668814184039</v>
      </c>
      <c r="AF73" s="155">
        <f t="shared" si="142"/>
        <v>-26690.668814184039</v>
      </c>
      <c r="AG73" s="155">
        <f t="shared" si="142"/>
        <v>-21990.742167849443</v>
      </c>
      <c r="AH73" s="155">
        <f t="shared" si="142"/>
        <v>-21990.742167849443</v>
      </c>
      <c r="AI73" s="155">
        <f t="shared" si="142"/>
        <v>-21990.742167849443</v>
      </c>
      <c r="AJ73" s="155">
        <f t="shared" si="142"/>
        <v>-17290.815521514847</v>
      </c>
      <c r="AK73" s="155">
        <f t="shared" si="142"/>
        <v>-17290.815521514847</v>
      </c>
      <c r="AL73" s="155">
        <f t="shared" si="142"/>
        <v>-17290.815521514847</v>
      </c>
      <c r="AM73" s="155">
        <f t="shared" si="142"/>
        <v>-12590.888875180251</v>
      </c>
      <c r="AN73" s="184">
        <f t="shared" si="38"/>
        <v>-12590.888875180251</v>
      </c>
      <c r="AO73" s="155"/>
      <c r="AQ73" s="155">
        <f t="shared" si="112"/>
        <v>6439.815646288369</v>
      </c>
      <c r="AR73" s="155">
        <f t="shared" si="85"/>
        <v>-2533.9525785977753</v>
      </c>
      <c r="AS73" s="155">
        <f t="shared" si="138"/>
        <v>-2299.4674146081302</v>
      </c>
      <c r="AT73" s="155">
        <f t="shared" si="138"/>
        <v>-2072.5462881665385</v>
      </c>
      <c r="AU73" s="155">
        <f t="shared" si="138"/>
        <v>-1838.0611241768938</v>
      </c>
      <c r="AV73" s="155">
        <f t="shared" si="138"/>
        <v>-1611.1399977353019</v>
      </c>
      <c r="AW73" s="155">
        <f t="shared" si="138"/>
        <v>-1376.654833745657</v>
      </c>
      <c r="AX73" s="155">
        <f t="shared" si="138"/>
        <v>-1142.1696697560121</v>
      </c>
      <c r="AY73" s="155">
        <f t="shared" si="138"/>
        <v>-930.37661841052648</v>
      </c>
      <c r="AZ73" s="155">
        <f t="shared" si="138"/>
        <v>-695.89145442088159</v>
      </c>
      <c r="BA73" s="155">
        <f t="shared" si="138"/>
        <v>-468.97032797928972</v>
      </c>
      <c r="BB73" s="155">
        <f t="shared" si="138"/>
        <v>-234.48516398964486</v>
      </c>
      <c r="BC73" s="155">
        <f t="shared" si="138"/>
        <v>-7.5640375480530606</v>
      </c>
      <c r="BD73" s="155">
        <f t="shared" si="113"/>
        <v>-26690.668814184039</v>
      </c>
      <c r="BE73" s="155">
        <f t="shared" si="34"/>
        <v>-8771.4638628463345</v>
      </c>
    </row>
    <row r="74" spans="1:57" x14ac:dyDescent="0.15">
      <c r="A74" s="39" t="s">
        <v>71</v>
      </c>
      <c r="G74" s="155">
        <v>-34508118.549999997</v>
      </c>
      <c r="H74" s="155">
        <f t="shared" si="100"/>
        <v>-34508118.549999997</v>
      </c>
      <c r="I74" s="155">
        <f t="shared" si="100"/>
        <v>-34508118.549999997</v>
      </c>
      <c r="J74" s="155">
        <f t="shared" si="100"/>
        <v>-34508118.549999997</v>
      </c>
      <c r="K74" s="155">
        <f t="shared" si="97"/>
        <v>-34508118.549999997</v>
      </c>
      <c r="L74" s="155">
        <f t="shared" si="97"/>
        <v>-34508118.549999997</v>
      </c>
      <c r="M74" s="155">
        <f t="shared" si="97"/>
        <v>-34508118.549999997</v>
      </c>
      <c r="N74" s="184">
        <f t="shared" si="108"/>
        <v>-34508118.549999997</v>
      </c>
      <c r="O74" s="155">
        <f t="shared" si="109"/>
        <v>-34508118.549999997</v>
      </c>
      <c r="P74" s="155">
        <f t="shared" ref="P74:Z74" si="143">+O74+SUMIF($B$282:$B$328,$A74,P$282:P$328)</f>
        <v>-34508118.549999997</v>
      </c>
      <c r="Q74" s="155">
        <f t="shared" si="143"/>
        <v>-34508118.549999997</v>
      </c>
      <c r="R74" s="155">
        <f t="shared" si="143"/>
        <v>-34508118.549999997</v>
      </c>
      <c r="S74" s="155">
        <f t="shared" si="143"/>
        <v>-34508118.549999997</v>
      </c>
      <c r="T74" s="155">
        <f t="shared" si="143"/>
        <v>-34508118.549999997</v>
      </c>
      <c r="U74" s="155">
        <f t="shared" si="143"/>
        <v>-34508118.549999997</v>
      </c>
      <c r="V74" s="155">
        <f t="shared" si="143"/>
        <v>-34508118.549999997</v>
      </c>
      <c r="W74" s="155">
        <f t="shared" si="143"/>
        <v>-34508118.549999997</v>
      </c>
      <c r="X74" s="155">
        <f t="shared" si="143"/>
        <v>-34508118.549999997</v>
      </c>
      <c r="Y74" s="155">
        <f t="shared" si="143"/>
        <v>-34508118.549999997</v>
      </c>
      <c r="Z74" s="155">
        <f t="shared" si="143"/>
        <v>-34508118.549999997</v>
      </c>
      <c r="AA74" s="184">
        <f t="shared" si="36"/>
        <v>-34508118.549999997</v>
      </c>
      <c r="AB74" s="155">
        <f t="shared" ref="AB74:AM74" si="144">+AA74+SUMIF($B$282:$B$328,$A74,AB$282:AB$328)</f>
        <v>-34508118.549999997</v>
      </c>
      <c r="AC74" s="155">
        <f t="shared" si="144"/>
        <v>-34508118.549999997</v>
      </c>
      <c r="AD74" s="155">
        <f t="shared" si="144"/>
        <v>-34508118.549999997</v>
      </c>
      <c r="AE74" s="155">
        <f t="shared" si="144"/>
        <v>-34508118.549999997</v>
      </c>
      <c r="AF74" s="155">
        <f t="shared" si="144"/>
        <v>-34508118.549999997</v>
      </c>
      <c r="AG74" s="155">
        <f t="shared" si="144"/>
        <v>-34508118.549999997</v>
      </c>
      <c r="AH74" s="155">
        <f t="shared" si="144"/>
        <v>-34508118.549999997</v>
      </c>
      <c r="AI74" s="155">
        <f t="shared" si="144"/>
        <v>-34508118.549999997</v>
      </c>
      <c r="AJ74" s="155">
        <f t="shared" si="144"/>
        <v>-34508118.549999997</v>
      </c>
      <c r="AK74" s="155">
        <f t="shared" si="144"/>
        <v>-34508118.549999997</v>
      </c>
      <c r="AL74" s="155">
        <f t="shared" si="144"/>
        <v>-34508118.549999997</v>
      </c>
      <c r="AM74" s="155">
        <f t="shared" si="144"/>
        <v>-34508118.549999997</v>
      </c>
      <c r="AN74" s="184">
        <f t="shared" si="38"/>
        <v>-34508118.549999997</v>
      </c>
      <c r="AO74" s="155"/>
      <c r="AQ74" s="155">
        <f t="shared" si="112"/>
        <v>-34508118.549999997</v>
      </c>
      <c r="AR74" s="155">
        <f t="shared" si="85"/>
        <v>0</v>
      </c>
      <c r="AS74" s="155">
        <f t="shared" si="138"/>
        <v>0</v>
      </c>
      <c r="AT74" s="155">
        <f t="shared" si="138"/>
        <v>0</v>
      </c>
      <c r="AU74" s="155">
        <f t="shared" si="138"/>
        <v>0</v>
      </c>
      <c r="AV74" s="155">
        <f t="shared" si="138"/>
        <v>0</v>
      </c>
      <c r="AW74" s="155">
        <f t="shared" si="138"/>
        <v>0</v>
      </c>
      <c r="AX74" s="155">
        <f t="shared" si="138"/>
        <v>0</v>
      </c>
      <c r="AY74" s="155">
        <f t="shared" si="138"/>
        <v>0</v>
      </c>
      <c r="AZ74" s="155">
        <f t="shared" si="138"/>
        <v>0</v>
      </c>
      <c r="BA74" s="155">
        <f t="shared" si="138"/>
        <v>0</v>
      </c>
      <c r="BB74" s="155">
        <f t="shared" si="138"/>
        <v>0</v>
      </c>
      <c r="BC74" s="155">
        <f t="shared" si="138"/>
        <v>0</v>
      </c>
      <c r="BD74" s="155">
        <f t="shared" si="113"/>
        <v>-34508118.549999997</v>
      </c>
      <c r="BE74" s="155">
        <f t="shared" si="34"/>
        <v>-34508118.549999997</v>
      </c>
    </row>
    <row r="75" spans="1:57" x14ac:dyDescent="0.15">
      <c r="A75" s="39" t="s">
        <v>72</v>
      </c>
      <c r="G75" s="155">
        <v>54378.42</v>
      </c>
      <c r="H75" s="155">
        <f t="shared" si="100"/>
        <v>54378.42</v>
      </c>
      <c r="I75" s="155">
        <f t="shared" si="100"/>
        <v>54378.42</v>
      </c>
      <c r="J75" s="155">
        <f t="shared" si="100"/>
        <v>54378.42</v>
      </c>
      <c r="K75" s="155">
        <f t="shared" ref="K75:M94" si="145">+J75+SUMIF($B$282:$B$328,$A75,K$282:K$328)</f>
        <v>54378.42</v>
      </c>
      <c r="L75" s="155">
        <f t="shared" si="145"/>
        <v>54378.42</v>
      </c>
      <c r="M75" s="155">
        <f t="shared" si="145"/>
        <v>54378.42</v>
      </c>
      <c r="N75" s="184">
        <f t="shared" si="108"/>
        <v>54378.42</v>
      </c>
      <c r="O75" s="155">
        <f t="shared" si="109"/>
        <v>54378.42</v>
      </c>
      <c r="P75" s="155">
        <f t="shared" ref="P75:Z75" si="146">+O75+SUMIF($B$282:$B$328,$A75,P$282:P$328)</f>
        <v>54378.42</v>
      </c>
      <c r="Q75" s="155">
        <f t="shared" si="146"/>
        <v>54378.42</v>
      </c>
      <c r="R75" s="155">
        <f t="shared" si="146"/>
        <v>54378.42</v>
      </c>
      <c r="S75" s="155">
        <f t="shared" si="146"/>
        <v>54378.42</v>
      </c>
      <c r="T75" s="155">
        <f t="shared" si="146"/>
        <v>54378.42</v>
      </c>
      <c r="U75" s="155">
        <f t="shared" si="146"/>
        <v>54378.42</v>
      </c>
      <c r="V75" s="155">
        <f t="shared" si="146"/>
        <v>54378.42</v>
      </c>
      <c r="W75" s="155">
        <f t="shared" si="146"/>
        <v>54378.42</v>
      </c>
      <c r="X75" s="155">
        <f t="shared" si="146"/>
        <v>54378.42</v>
      </c>
      <c r="Y75" s="155">
        <f t="shared" si="146"/>
        <v>54378.42</v>
      </c>
      <c r="Z75" s="155">
        <f t="shared" si="146"/>
        <v>54378.42</v>
      </c>
      <c r="AA75" s="184">
        <f t="shared" si="36"/>
        <v>54378.42</v>
      </c>
      <c r="AB75" s="155">
        <f t="shared" ref="AB75:AM75" si="147">+AA75+SUMIF($B$282:$B$328,$A75,AB$282:AB$328)</f>
        <v>54378.42</v>
      </c>
      <c r="AC75" s="155">
        <f t="shared" si="147"/>
        <v>54378.42</v>
      </c>
      <c r="AD75" s="155">
        <f t="shared" si="147"/>
        <v>54378.42</v>
      </c>
      <c r="AE75" s="155">
        <f t="shared" si="147"/>
        <v>54378.42</v>
      </c>
      <c r="AF75" s="155">
        <f t="shared" si="147"/>
        <v>54378.42</v>
      </c>
      <c r="AG75" s="155">
        <f t="shared" si="147"/>
        <v>54378.42</v>
      </c>
      <c r="AH75" s="155">
        <f t="shared" si="147"/>
        <v>54378.42</v>
      </c>
      <c r="AI75" s="155">
        <f t="shared" si="147"/>
        <v>54378.42</v>
      </c>
      <c r="AJ75" s="155">
        <f t="shared" si="147"/>
        <v>54378.42</v>
      </c>
      <c r="AK75" s="155">
        <f t="shared" si="147"/>
        <v>54378.42</v>
      </c>
      <c r="AL75" s="155">
        <f t="shared" si="147"/>
        <v>54378.42</v>
      </c>
      <c r="AM75" s="155">
        <f t="shared" si="147"/>
        <v>54378.42</v>
      </c>
      <c r="AN75" s="184">
        <f t="shared" si="38"/>
        <v>54378.42</v>
      </c>
      <c r="AO75" s="155"/>
      <c r="AQ75" s="155">
        <f t="shared" si="112"/>
        <v>54378.42</v>
      </c>
      <c r="AR75" s="155">
        <f t="shared" si="85"/>
        <v>0</v>
      </c>
      <c r="AS75" s="155">
        <f t="shared" si="138"/>
        <v>0</v>
      </c>
      <c r="AT75" s="155">
        <f t="shared" si="138"/>
        <v>0</v>
      </c>
      <c r="AU75" s="155">
        <f t="shared" si="138"/>
        <v>0</v>
      </c>
      <c r="AV75" s="155">
        <f t="shared" si="138"/>
        <v>0</v>
      </c>
      <c r="AW75" s="155">
        <f t="shared" si="138"/>
        <v>0</v>
      </c>
      <c r="AX75" s="155">
        <f t="shared" si="138"/>
        <v>0</v>
      </c>
      <c r="AY75" s="155">
        <f t="shared" si="138"/>
        <v>0</v>
      </c>
      <c r="AZ75" s="155">
        <f t="shared" si="138"/>
        <v>0</v>
      </c>
      <c r="BA75" s="155">
        <f t="shared" si="138"/>
        <v>0</v>
      </c>
      <c r="BB75" s="155">
        <f t="shared" si="138"/>
        <v>0</v>
      </c>
      <c r="BC75" s="155">
        <f t="shared" si="138"/>
        <v>0</v>
      </c>
      <c r="BD75" s="155">
        <f t="shared" si="113"/>
        <v>54378.42</v>
      </c>
      <c r="BE75" s="155">
        <f t="shared" si="34"/>
        <v>54378.42</v>
      </c>
    </row>
    <row r="76" spans="1:57" x14ac:dyDescent="0.15">
      <c r="A76" s="39" t="s">
        <v>654</v>
      </c>
      <c r="G76" s="155">
        <v>-759307.39</v>
      </c>
      <c r="H76" s="155">
        <f t="shared" ref="H76:J95" si="148">+G76+SUMIF($B$282:$B$328,$A76,H$282:H$328)</f>
        <v>-759307.39</v>
      </c>
      <c r="I76" s="155">
        <f t="shared" si="148"/>
        <v>-759307.39</v>
      </c>
      <c r="J76" s="155">
        <f t="shared" si="148"/>
        <v>-759307.39</v>
      </c>
      <c r="K76" s="155">
        <f t="shared" si="145"/>
        <v>-759307.39</v>
      </c>
      <c r="L76" s="155">
        <f t="shared" si="145"/>
        <v>-759307.39</v>
      </c>
      <c r="M76" s="155">
        <f t="shared" si="145"/>
        <v>-759307.39</v>
      </c>
      <c r="N76" s="184">
        <f t="shared" si="108"/>
        <v>-759307.39</v>
      </c>
      <c r="O76" s="155">
        <f t="shared" si="109"/>
        <v>-759307.39</v>
      </c>
      <c r="P76" s="155">
        <f t="shared" ref="P76:Z76" si="149">+O76+SUMIF($B$282:$B$328,$A76,P$282:P$328)</f>
        <v>-759307.39</v>
      </c>
      <c r="Q76" s="155">
        <f t="shared" si="149"/>
        <v>-759307.39</v>
      </c>
      <c r="R76" s="155">
        <f t="shared" si="149"/>
        <v>-759307.39</v>
      </c>
      <c r="S76" s="155">
        <f t="shared" si="149"/>
        <v>-759307.39</v>
      </c>
      <c r="T76" s="155">
        <f t="shared" si="149"/>
        <v>-759307.39</v>
      </c>
      <c r="U76" s="155">
        <f t="shared" si="149"/>
        <v>-759307.39</v>
      </c>
      <c r="V76" s="155">
        <f t="shared" si="149"/>
        <v>-759307.39</v>
      </c>
      <c r="W76" s="155">
        <f t="shared" si="149"/>
        <v>-759307.39</v>
      </c>
      <c r="X76" s="155">
        <f t="shared" si="149"/>
        <v>-759307.39</v>
      </c>
      <c r="Y76" s="155">
        <f t="shared" si="149"/>
        <v>-759307.39</v>
      </c>
      <c r="Z76" s="155">
        <f t="shared" si="149"/>
        <v>-759307.39</v>
      </c>
      <c r="AA76" s="184">
        <f>+Z76</f>
        <v>-759307.39</v>
      </c>
      <c r="AB76" s="155">
        <f t="shared" ref="AB76:AM76" si="150">+AA76+SUMIF($B$282:$B$328,$A76,AB$282:AB$328)</f>
        <v>-759307.39</v>
      </c>
      <c r="AC76" s="155">
        <f t="shared" si="150"/>
        <v>-759307.39</v>
      </c>
      <c r="AD76" s="155">
        <f t="shared" si="150"/>
        <v>-759307.39</v>
      </c>
      <c r="AE76" s="155">
        <f t="shared" si="150"/>
        <v>-759307.39</v>
      </c>
      <c r="AF76" s="155">
        <f t="shared" si="150"/>
        <v>-759307.39</v>
      </c>
      <c r="AG76" s="155">
        <f t="shared" si="150"/>
        <v>-759307.39</v>
      </c>
      <c r="AH76" s="155">
        <f t="shared" si="150"/>
        <v>-759307.39</v>
      </c>
      <c r="AI76" s="155">
        <f t="shared" si="150"/>
        <v>-759307.39</v>
      </c>
      <c r="AJ76" s="155">
        <f t="shared" si="150"/>
        <v>-759307.39</v>
      </c>
      <c r="AK76" s="155">
        <f t="shared" si="150"/>
        <v>-759307.39</v>
      </c>
      <c r="AL76" s="155">
        <f t="shared" si="150"/>
        <v>-759307.39</v>
      </c>
      <c r="AM76" s="155">
        <f t="shared" si="150"/>
        <v>-759307.39</v>
      </c>
      <c r="AN76" s="184">
        <f>+AM76</f>
        <v>-759307.39</v>
      </c>
      <c r="AO76" s="155"/>
      <c r="AQ76" s="155">
        <f t="shared" si="112"/>
        <v>-759307.39</v>
      </c>
      <c r="AR76" s="155">
        <f t="shared" si="85"/>
        <v>0</v>
      </c>
      <c r="AS76" s="155">
        <f t="shared" si="138"/>
        <v>0</v>
      </c>
      <c r="AT76" s="155">
        <f t="shared" si="138"/>
        <v>0</v>
      </c>
      <c r="AU76" s="155">
        <f t="shared" si="138"/>
        <v>0</v>
      </c>
      <c r="AV76" s="155">
        <f t="shared" si="138"/>
        <v>0</v>
      </c>
      <c r="AW76" s="155">
        <f t="shared" si="138"/>
        <v>0</v>
      </c>
      <c r="AX76" s="155">
        <f t="shared" si="138"/>
        <v>0</v>
      </c>
      <c r="AY76" s="155">
        <f t="shared" si="138"/>
        <v>0</v>
      </c>
      <c r="AZ76" s="155">
        <f t="shared" si="138"/>
        <v>0</v>
      </c>
      <c r="BA76" s="155">
        <f t="shared" si="138"/>
        <v>0</v>
      </c>
      <c r="BB76" s="155">
        <f t="shared" si="138"/>
        <v>0</v>
      </c>
      <c r="BC76" s="155">
        <f t="shared" si="138"/>
        <v>0</v>
      </c>
      <c r="BD76" s="155">
        <f t="shared" si="113"/>
        <v>-759307.39</v>
      </c>
      <c r="BE76" s="155">
        <f t="shared" si="34"/>
        <v>-759307.39</v>
      </c>
    </row>
    <row r="77" spans="1:57" x14ac:dyDescent="0.15">
      <c r="A77" s="39" t="s">
        <v>73</v>
      </c>
      <c r="G77" s="155">
        <v>-907705.88</v>
      </c>
      <c r="H77" s="155">
        <f t="shared" si="148"/>
        <v>-907705.88</v>
      </c>
      <c r="I77" s="155">
        <f t="shared" si="148"/>
        <v>-907705.88</v>
      </c>
      <c r="J77" s="155">
        <f t="shared" si="148"/>
        <v>-907705.88</v>
      </c>
      <c r="K77" s="155">
        <f t="shared" si="145"/>
        <v>-907705.88</v>
      </c>
      <c r="L77" s="155">
        <f t="shared" si="145"/>
        <v>-907705.88</v>
      </c>
      <c r="M77" s="155">
        <f t="shared" si="145"/>
        <v>-907705.88</v>
      </c>
      <c r="N77" s="184">
        <f t="shared" si="108"/>
        <v>-907705.88</v>
      </c>
      <c r="O77" s="155">
        <f t="shared" si="109"/>
        <v>-907705.88</v>
      </c>
      <c r="P77" s="155">
        <f t="shared" ref="P77:Z77" si="151">+O77+SUMIF($B$282:$B$328,$A77,P$282:P$328)</f>
        <v>-907705.88</v>
      </c>
      <c r="Q77" s="155">
        <f t="shared" si="151"/>
        <v>-907705.88</v>
      </c>
      <c r="R77" s="155">
        <f t="shared" si="151"/>
        <v>-907705.88</v>
      </c>
      <c r="S77" s="155">
        <f t="shared" si="151"/>
        <v>-907705.88</v>
      </c>
      <c r="T77" s="155">
        <f t="shared" si="151"/>
        <v>-907705.88</v>
      </c>
      <c r="U77" s="155">
        <f t="shared" si="151"/>
        <v>-907705.88</v>
      </c>
      <c r="V77" s="155">
        <f t="shared" si="151"/>
        <v>-907705.88</v>
      </c>
      <c r="W77" s="155">
        <f t="shared" si="151"/>
        <v>-907705.88</v>
      </c>
      <c r="X77" s="155">
        <f t="shared" si="151"/>
        <v>-907705.88</v>
      </c>
      <c r="Y77" s="155">
        <f t="shared" si="151"/>
        <v>-907705.88</v>
      </c>
      <c r="Z77" s="155">
        <f t="shared" si="151"/>
        <v>-907705.88</v>
      </c>
      <c r="AA77" s="184">
        <f t="shared" si="36"/>
        <v>-907705.88</v>
      </c>
      <c r="AB77" s="155">
        <f t="shared" ref="AB77:AM77" si="152">+AA77+SUMIF($B$282:$B$328,$A77,AB$282:AB$328)</f>
        <v>-907705.88</v>
      </c>
      <c r="AC77" s="155">
        <f t="shared" si="152"/>
        <v>-907705.88</v>
      </c>
      <c r="AD77" s="155">
        <f t="shared" si="152"/>
        <v>-907705.88</v>
      </c>
      <c r="AE77" s="155">
        <f t="shared" si="152"/>
        <v>-907705.88</v>
      </c>
      <c r="AF77" s="155">
        <f t="shared" si="152"/>
        <v>-907705.88</v>
      </c>
      <c r="AG77" s="155">
        <f t="shared" si="152"/>
        <v>-907705.88</v>
      </c>
      <c r="AH77" s="155">
        <f t="shared" si="152"/>
        <v>-907705.88</v>
      </c>
      <c r="AI77" s="155">
        <f t="shared" si="152"/>
        <v>-907705.88</v>
      </c>
      <c r="AJ77" s="155">
        <f t="shared" si="152"/>
        <v>-907705.88</v>
      </c>
      <c r="AK77" s="155">
        <f t="shared" si="152"/>
        <v>-907705.88</v>
      </c>
      <c r="AL77" s="155">
        <f t="shared" si="152"/>
        <v>-907705.88</v>
      </c>
      <c r="AM77" s="155">
        <f t="shared" si="152"/>
        <v>-907705.88</v>
      </c>
      <c r="AN77" s="184">
        <f t="shared" si="38"/>
        <v>-907705.88</v>
      </c>
      <c r="AO77" s="155"/>
      <c r="AQ77" s="155">
        <f t="shared" si="112"/>
        <v>-907705.88</v>
      </c>
      <c r="AR77" s="155">
        <f t="shared" si="85"/>
        <v>0</v>
      </c>
      <c r="AS77" s="155">
        <f t="shared" si="138"/>
        <v>0</v>
      </c>
      <c r="AT77" s="155">
        <f t="shared" si="138"/>
        <v>0</v>
      </c>
      <c r="AU77" s="155">
        <f t="shared" si="138"/>
        <v>0</v>
      </c>
      <c r="AV77" s="155">
        <f t="shared" si="138"/>
        <v>0</v>
      </c>
      <c r="AW77" s="155">
        <f t="shared" si="138"/>
        <v>0</v>
      </c>
      <c r="AX77" s="155">
        <f t="shared" si="138"/>
        <v>0</v>
      </c>
      <c r="AY77" s="155">
        <f t="shared" si="138"/>
        <v>0</v>
      </c>
      <c r="AZ77" s="155">
        <f t="shared" si="138"/>
        <v>0</v>
      </c>
      <c r="BA77" s="155">
        <f t="shared" si="138"/>
        <v>0</v>
      </c>
      <c r="BB77" s="155">
        <f t="shared" si="138"/>
        <v>0</v>
      </c>
      <c r="BC77" s="155">
        <f t="shared" si="138"/>
        <v>0</v>
      </c>
      <c r="BD77" s="155">
        <f t="shared" si="113"/>
        <v>-907705.88</v>
      </c>
      <c r="BE77" s="155">
        <f t="shared" si="34"/>
        <v>-907705.88</v>
      </c>
    </row>
    <row r="78" spans="1:57" x14ac:dyDescent="0.15">
      <c r="A78" s="39" t="s">
        <v>74</v>
      </c>
      <c r="G78" s="155">
        <v>-340330.27</v>
      </c>
      <c r="H78" s="155">
        <f t="shared" si="148"/>
        <v>-340330.27</v>
      </c>
      <c r="I78" s="155">
        <f t="shared" si="148"/>
        <v>-340330.27</v>
      </c>
      <c r="J78" s="155">
        <f t="shared" si="148"/>
        <v>-340330.27</v>
      </c>
      <c r="K78" s="155">
        <f t="shared" si="145"/>
        <v>-340330.27</v>
      </c>
      <c r="L78" s="155">
        <f t="shared" si="145"/>
        <v>-340330.27</v>
      </c>
      <c r="M78" s="155">
        <f t="shared" si="145"/>
        <v>-340330.27</v>
      </c>
      <c r="N78" s="184">
        <f t="shared" si="108"/>
        <v>-340330.27</v>
      </c>
      <c r="O78" s="155">
        <f t="shared" si="109"/>
        <v>-340330.27</v>
      </c>
      <c r="P78" s="155">
        <f t="shared" ref="P78:Z78" si="153">+O78+SUMIF($B$282:$B$328,$A78,P$282:P$328)</f>
        <v>-340330.27</v>
      </c>
      <c r="Q78" s="155">
        <f t="shared" si="153"/>
        <v>-340330.27</v>
      </c>
      <c r="R78" s="155">
        <f t="shared" si="153"/>
        <v>-340330.27</v>
      </c>
      <c r="S78" s="155">
        <f t="shared" si="153"/>
        <v>-340330.27</v>
      </c>
      <c r="T78" s="155">
        <f t="shared" si="153"/>
        <v>-340330.27</v>
      </c>
      <c r="U78" s="155">
        <f t="shared" si="153"/>
        <v>-340330.27</v>
      </c>
      <c r="V78" s="155">
        <f t="shared" si="153"/>
        <v>-340330.27</v>
      </c>
      <c r="W78" s="155">
        <f t="shared" si="153"/>
        <v>-340330.27</v>
      </c>
      <c r="X78" s="155">
        <f t="shared" si="153"/>
        <v>-340330.27</v>
      </c>
      <c r="Y78" s="155">
        <f t="shared" si="153"/>
        <v>-340330.27</v>
      </c>
      <c r="Z78" s="155">
        <f t="shared" si="153"/>
        <v>-340330.27</v>
      </c>
      <c r="AA78" s="184">
        <f t="shared" si="36"/>
        <v>-340330.27</v>
      </c>
      <c r="AB78" s="155">
        <f t="shared" ref="AB78:AM78" si="154">+AA78+SUMIF($B$282:$B$328,$A78,AB$282:AB$328)</f>
        <v>-340330.27</v>
      </c>
      <c r="AC78" s="155">
        <f t="shared" si="154"/>
        <v>-340330.27</v>
      </c>
      <c r="AD78" s="155">
        <f t="shared" si="154"/>
        <v>-340330.27</v>
      </c>
      <c r="AE78" s="155">
        <f t="shared" si="154"/>
        <v>-340330.27</v>
      </c>
      <c r="AF78" s="155">
        <f t="shared" si="154"/>
        <v>-340330.27</v>
      </c>
      <c r="AG78" s="155">
        <f t="shared" si="154"/>
        <v>-340330.27</v>
      </c>
      <c r="AH78" s="155">
        <f t="shared" si="154"/>
        <v>-340330.27</v>
      </c>
      <c r="AI78" s="155">
        <f t="shared" si="154"/>
        <v>-340330.27</v>
      </c>
      <c r="AJ78" s="155">
        <f t="shared" si="154"/>
        <v>-340330.27</v>
      </c>
      <c r="AK78" s="155">
        <f t="shared" si="154"/>
        <v>-340330.27</v>
      </c>
      <c r="AL78" s="155">
        <f t="shared" si="154"/>
        <v>-340330.27</v>
      </c>
      <c r="AM78" s="155">
        <f t="shared" si="154"/>
        <v>-340330.27</v>
      </c>
      <c r="AN78" s="184">
        <f t="shared" si="38"/>
        <v>-340330.27</v>
      </c>
      <c r="AO78" s="155"/>
      <c r="AQ78" s="155">
        <f t="shared" si="112"/>
        <v>-340330.27</v>
      </c>
      <c r="AR78" s="155">
        <f t="shared" si="85"/>
        <v>0</v>
      </c>
      <c r="AS78" s="155">
        <f t="shared" si="138"/>
        <v>0</v>
      </c>
      <c r="AT78" s="155">
        <f t="shared" si="138"/>
        <v>0</v>
      </c>
      <c r="AU78" s="155">
        <f t="shared" si="138"/>
        <v>0</v>
      </c>
      <c r="AV78" s="155">
        <f t="shared" si="138"/>
        <v>0</v>
      </c>
      <c r="AW78" s="155">
        <f t="shared" si="138"/>
        <v>0</v>
      </c>
      <c r="AX78" s="155">
        <f t="shared" si="138"/>
        <v>0</v>
      </c>
      <c r="AY78" s="155">
        <f t="shared" si="138"/>
        <v>0</v>
      </c>
      <c r="AZ78" s="155">
        <f t="shared" si="138"/>
        <v>0</v>
      </c>
      <c r="BA78" s="155">
        <f t="shared" si="138"/>
        <v>0</v>
      </c>
      <c r="BB78" s="155">
        <f t="shared" si="138"/>
        <v>0</v>
      </c>
      <c r="BC78" s="155">
        <f t="shared" si="138"/>
        <v>0</v>
      </c>
      <c r="BD78" s="155">
        <f t="shared" si="113"/>
        <v>-340330.27</v>
      </c>
      <c r="BE78" s="155">
        <f t="shared" si="34"/>
        <v>-340330.27</v>
      </c>
    </row>
    <row r="79" spans="1:57" x14ac:dyDescent="0.15">
      <c r="A79" s="39" t="s">
        <v>652</v>
      </c>
      <c r="G79" s="155">
        <v>-164917</v>
      </c>
      <c r="H79" s="155">
        <f t="shared" si="148"/>
        <v>-164917</v>
      </c>
      <c r="I79" s="155">
        <f t="shared" si="148"/>
        <v>-164917</v>
      </c>
      <c r="J79" s="155">
        <f t="shared" si="148"/>
        <v>-153401.97495249999</v>
      </c>
      <c r="K79" s="155">
        <f t="shared" si="145"/>
        <v>-153401.97495249999</v>
      </c>
      <c r="L79" s="155">
        <f t="shared" si="145"/>
        <v>-153401.97495249999</v>
      </c>
      <c r="M79" s="155">
        <f t="shared" si="145"/>
        <v>-141886.94990499999</v>
      </c>
      <c r="N79" s="184">
        <f t="shared" si="108"/>
        <v>-141886.94990499999</v>
      </c>
      <c r="O79" s="155">
        <f t="shared" si="109"/>
        <v>-141886.94990499999</v>
      </c>
      <c r="P79" s="155">
        <f t="shared" ref="P79:Z79" si="155">+O79+SUMIF($B$282:$B$328,$A79,P$282:P$328)</f>
        <v>-141886.94990499999</v>
      </c>
      <c r="Q79" s="155">
        <f t="shared" si="155"/>
        <v>-130364.03192499999</v>
      </c>
      <c r="R79" s="155">
        <f t="shared" si="155"/>
        <v>-130364.03192499999</v>
      </c>
      <c r="S79" s="155">
        <f t="shared" si="155"/>
        <v>-130364.03192499999</v>
      </c>
      <c r="T79" s="155">
        <f t="shared" si="155"/>
        <v>-118841.11394499999</v>
      </c>
      <c r="U79" s="155">
        <f t="shared" si="155"/>
        <v>-118841.11394499999</v>
      </c>
      <c r="V79" s="155">
        <f t="shared" si="155"/>
        <v>-118841.11394499999</v>
      </c>
      <c r="W79" s="155">
        <f t="shared" si="155"/>
        <v>-107318.19596499999</v>
      </c>
      <c r="X79" s="155">
        <f t="shared" si="155"/>
        <v>-107318.19596499999</v>
      </c>
      <c r="Y79" s="155">
        <f t="shared" si="155"/>
        <v>-107318.19596499999</v>
      </c>
      <c r="Z79" s="155">
        <f t="shared" si="155"/>
        <v>-95795.277984999993</v>
      </c>
      <c r="AA79" s="184">
        <f t="shared" si="36"/>
        <v>-95795.277984999993</v>
      </c>
      <c r="AB79" s="155">
        <f t="shared" ref="AB79:AM79" si="156">+AA79+SUMIF($B$282:$B$328,$A79,AB$282:AB$328)</f>
        <v>-95795.277984999993</v>
      </c>
      <c r="AC79" s="155">
        <f t="shared" si="156"/>
        <v>-95795.277984999993</v>
      </c>
      <c r="AD79" s="155">
        <f t="shared" si="156"/>
        <v>-84272.360004999995</v>
      </c>
      <c r="AE79" s="155">
        <f t="shared" si="156"/>
        <v>-84272.360004999995</v>
      </c>
      <c r="AF79" s="155">
        <f t="shared" si="156"/>
        <v>-84272.360004999995</v>
      </c>
      <c r="AG79" s="155">
        <f t="shared" si="156"/>
        <v>-72749.442024999997</v>
      </c>
      <c r="AH79" s="155">
        <f t="shared" si="156"/>
        <v>-72749.442024999997</v>
      </c>
      <c r="AI79" s="155">
        <f t="shared" si="156"/>
        <v>-72749.442024999997</v>
      </c>
      <c r="AJ79" s="155">
        <f t="shared" si="156"/>
        <v>-61226.524044999998</v>
      </c>
      <c r="AK79" s="155">
        <f t="shared" si="156"/>
        <v>-61226.524044999998</v>
      </c>
      <c r="AL79" s="155">
        <f t="shared" si="156"/>
        <v>-61226.524044999998</v>
      </c>
      <c r="AM79" s="155">
        <f t="shared" si="156"/>
        <v>-49703.606065</v>
      </c>
      <c r="AN79" s="184">
        <f t="shared" si="38"/>
        <v>-49703.606065</v>
      </c>
      <c r="AO79" s="155"/>
      <c r="AQ79" s="155">
        <f t="shared" si="112"/>
        <v>-130364.03192499999</v>
      </c>
      <c r="AR79" s="155">
        <f t="shared" si="85"/>
        <v>3525.2762769863007</v>
      </c>
      <c r="AS79" s="155">
        <f t="shared" si="138"/>
        <v>3199.056681205479</v>
      </c>
      <c r="AT79" s="155">
        <f t="shared" si="138"/>
        <v>2883.3602981917807</v>
      </c>
      <c r="AU79" s="155">
        <f t="shared" si="138"/>
        <v>2557.1407024109585</v>
      </c>
      <c r="AV79" s="155">
        <f t="shared" si="138"/>
        <v>2241.4443193972602</v>
      </c>
      <c r="AW79" s="155">
        <f t="shared" si="138"/>
        <v>1915.224723616438</v>
      </c>
      <c r="AX79" s="155">
        <f t="shared" si="138"/>
        <v>1589.0051278356163</v>
      </c>
      <c r="AY79" s="155">
        <f t="shared" si="138"/>
        <v>1294.3551703561643</v>
      </c>
      <c r="AZ79" s="155">
        <f t="shared" si="138"/>
        <v>968.13557457534239</v>
      </c>
      <c r="BA79" s="155">
        <f t="shared" si="138"/>
        <v>652.43919156164372</v>
      </c>
      <c r="BB79" s="155">
        <f t="shared" si="138"/>
        <v>326.21959578082186</v>
      </c>
      <c r="BC79" s="155">
        <f t="shared" si="138"/>
        <v>10.523212767123287</v>
      </c>
      <c r="BD79" s="155">
        <f t="shared" si="113"/>
        <v>-84272.360004999995</v>
      </c>
      <c r="BE79" s="155">
        <f t="shared" si="34"/>
        <v>-109201.85105031506</v>
      </c>
    </row>
    <row r="80" spans="1:57" x14ac:dyDescent="0.15">
      <c r="A80" s="39" t="s">
        <v>302</v>
      </c>
      <c r="G80" s="155">
        <v>203240.67</v>
      </c>
      <c r="H80" s="155">
        <f t="shared" si="148"/>
        <v>203240.67</v>
      </c>
      <c r="I80" s="155">
        <f t="shared" si="148"/>
        <v>203240.67</v>
      </c>
      <c r="J80" s="155">
        <f t="shared" si="148"/>
        <v>214710.91291625</v>
      </c>
      <c r="K80" s="155">
        <f t="shared" si="145"/>
        <v>214710.91291625</v>
      </c>
      <c r="L80" s="155">
        <f t="shared" si="145"/>
        <v>214710.91291625</v>
      </c>
      <c r="M80" s="155">
        <f t="shared" si="145"/>
        <v>226181.15583249999</v>
      </c>
      <c r="N80" s="184">
        <f t="shared" si="108"/>
        <v>226181.15583249999</v>
      </c>
      <c r="O80" s="155">
        <f t="shared" si="109"/>
        <v>226181.15583249999</v>
      </c>
      <c r="P80" s="155">
        <f t="shared" ref="P80:Z80" si="157">+O80+SUMIF($B$282:$B$328,$A80,P$282:P$328)</f>
        <v>226181.15583249999</v>
      </c>
      <c r="Q80" s="155">
        <f t="shared" si="157"/>
        <v>215336.74249874998</v>
      </c>
      <c r="R80" s="155">
        <f t="shared" si="157"/>
        <v>215336.74249874998</v>
      </c>
      <c r="S80" s="155">
        <f t="shared" si="157"/>
        <v>215336.74249874998</v>
      </c>
      <c r="T80" s="155">
        <f t="shared" si="157"/>
        <v>204492.32916499997</v>
      </c>
      <c r="U80" s="155">
        <f t="shared" si="157"/>
        <v>204492.32916499997</v>
      </c>
      <c r="V80" s="155">
        <f t="shared" si="157"/>
        <v>204492.32916499997</v>
      </c>
      <c r="W80" s="155">
        <f t="shared" si="157"/>
        <v>193647.91583124996</v>
      </c>
      <c r="X80" s="155">
        <f t="shared" si="157"/>
        <v>193647.91583124996</v>
      </c>
      <c r="Y80" s="155">
        <f t="shared" si="157"/>
        <v>193647.91583124996</v>
      </c>
      <c r="Z80" s="155">
        <f t="shared" si="157"/>
        <v>182803.50249749995</v>
      </c>
      <c r="AA80" s="184">
        <f t="shared" si="36"/>
        <v>182803.50249749995</v>
      </c>
      <c r="AB80" s="155">
        <f t="shared" ref="AB80:AM80" si="158">+AA80+SUMIF($B$282:$B$328,$A80,AB$282:AB$328)</f>
        <v>182803.50249749995</v>
      </c>
      <c r="AC80" s="155">
        <f t="shared" si="158"/>
        <v>182803.50249749995</v>
      </c>
      <c r="AD80" s="155">
        <f t="shared" si="158"/>
        <v>177381.29364749996</v>
      </c>
      <c r="AE80" s="155">
        <f t="shared" si="158"/>
        <v>177381.29364749996</v>
      </c>
      <c r="AF80" s="155">
        <f t="shared" si="158"/>
        <v>177381.29364749996</v>
      </c>
      <c r="AG80" s="155">
        <f t="shared" si="158"/>
        <v>171959.08479749996</v>
      </c>
      <c r="AH80" s="155">
        <f t="shared" si="158"/>
        <v>171959.08479749996</v>
      </c>
      <c r="AI80" s="155">
        <f t="shared" si="158"/>
        <v>171959.08479749996</v>
      </c>
      <c r="AJ80" s="155">
        <f t="shared" si="158"/>
        <v>166536.87594749997</v>
      </c>
      <c r="AK80" s="155">
        <f t="shared" si="158"/>
        <v>166536.87594749997</v>
      </c>
      <c r="AL80" s="155">
        <f t="shared" si="158"/>
        <v>166536.87594749997</v>
      </c>
      <c r="AM80" s="155">
        <f t="shared" si="158"/>
        <v>161114.66709749997</v>
      </c>
      <c r="AN80" s="184">
        <f t="shared" si="38"/>
        <v>161114.66709749997</v>
      </c>
      <c r="AO80" s="155"/>
      <c r="AQ80" s="155">
        <f t="shared" si="112"/>
        <v>215336.74249874998</v>
      </c>
      <c r="AR80" s="155">
        <f t="shared" si="85"/>
        <v>-2902.9852431892141</v>
      </c>
      <c r="AS80" s="155">
        <f t="shared" si="138"/>
        <v>-2634.3507878493169</v>
      </c>
      <c r="AT80" s="155">
        <f t="shared" si="138"/>
        <v>-2374.3819601010291</v>
      </c>
      <c r="AU80" s="155">
        <f t="shared" si="138"/>
        <v>-2105.7475047611315</v>
      </c>
      <c r="AV80" s="155">
        <f t="shared" si="138"/>
        <v>-1845.7786770128437</v>
      </c>
      <c r="AW80" s="155">
        <f t="shared" si="138"/>
        <v>-1577.1442216729463</v>
      </c>
      <c r="AX80" s="155">
        <f t="shared" si="138"/>
        <v>-1308.5097663330489</v>
      </c>
      <c r="AY80" s="155">
        <f t="shared" si="138"/>
        <v>-1065.8721937679802</v>
      </c>
      <c r="AZ80" s="155">
        <f t="shared" si="138"/>
        <v>-797.23773842808271</v>
      </c>
      <c r="BA80" s="155">
        <f t="shared" si="138"/>
        <v>-537.26891067979489</v>
      </c>
      <c r="BB80" s="155">
        <f t="shared" si="138"/>
        <v>-268.63445533989744</v>
      </c>
      <c r="BC80" s="155">
        <f t="shared" si="138"/>
        <v>-8.6656275916095939</v>
      </c>
      <c r="BD80" s="155">
        <f t="shared" si="113"/>
        <v>177381.29364749996</v>
      </c>
      <c r="BE80" s="155">
        <f t="shared" si="34"/>
        <v>197910.16541202317</v>
      </c>
    </row>
    <row r="81" spans="1:57" x14ac:dyDescent="0.15">
      <c r="A81" s="39" t="s">
        <v>75</v>
      </c>
      <c r="G81" s="155">
        <v>-500331.28</v>
      </c>
      <c r="H81" s="155">
        <f t="shared" si="148"/>
        <v>-500331.28</v>
      </c>
      <c r="I81" s="155">
        <f t="shared" si="148"/>
        <v>-500331.28</v>
      </c>
      <c r="J81" s="155">
        <f t="shared" si="148"/>
        <v>-541179.76010415086</v>
      </c>
      <c r="K81" s="155">
        <f t="shared" si="145"/>
        <v>-541179.76010415086</v>
      </c>
      <c r="L81" s="155">
        <f t="shared" si="145"/>
        <v>-541179.76010415086</v>
      </c>
      <c r="M81" s="155">
        <f t="shared" si="145"/>
        <v>-582028.24020830169</v>
      </c>
      <c r="N81" s="184">
        <f t="shared" si="108"/>
        <v>-582028.24020830169</v>
      </c>
      <c r="O81" s="155">
        <f t="shared" si="109"/>
        <v>-582028.24020830169</v>
      </c>
      <c r="P81" s="155">
        <f t="shared" ref="P81:Z81" si="159">+O81+SUMIF($B$282:$B$328,$A81,P$282:P$328)</f>
        <v>-582028.24020830169</v>
      </c>
      <c r="Q81" s="155">
        <f t="shared" si="159"/>
        <v>-557539.71671857988</v>
      </c>
      <c r="R81" s="155">
        <f t="shared" si="159"/>
        <v>-557539.71671857988</v>
      </c>
      <c r="S81" s="155">
        <f t="shared" si="159"/>
        <v>-557539.71671857988</v>
      </c>
      <c r="T81" s="155">
        <f t="shared" si="159"/>
        <v>-533051.19322885806</v>
      </c>
      <c r="U81" s="155">
        <f t="shared" si="159"/>
        <v>-533051.19322885806</v>
      </c>
      <c r="V81" s="155">
        <f t="shared" si="159"/>
        <v>-533051.19322885806</v>
      </c>
      <c r="W81" s="155">
        <f t="shared" si="159"/>
        <v>-508562.66973913618</v>
      </c>
      <c r="X81" s="155">
        <f t="shared" si="159"/>
        <v>-508562.66973913618</v>
      </c>
      <c r="Y81" s="155">
        <f t="shared" si="159"/>
        <v>-508562.66973913618</v>
      </c>
      <c r="Z81" s="155">
        <f t="shared" si="159"/>
        <v>-484074.14624941431</v>
      </c>
      <c r="AA81" s="184">
        <f t="shared" si="36"/>
        <v>-484074.14624941431</v>
      </c>
      <c r="AB81" s="155">
        <f t="shared" ref="AB81:AM81" si="160">+AA81+SUMIF($B$282:$B$328,$A81,AB$282:AB$328)</f>
        <v>-484074.14624941431</v>
      </c>
      <c r="AC81" s="155">
        <f t="shared" si="160"/>
        <v>-484074.14624941431</v>
      </c>
      <c r="AD81" s="155">
        <f t="shared" si="160"/>
        <v>-430792.55559877411</v>
      </c>
      <c r="AE81" s="155">
        <f t="shared" si="160"/>
        <v>-430792.55559877411</v>
      </c>
      <c r="AF81" s="155">
        <f t="shared" si="160"/>
        <v>-430792.55559877411</v>
      </c>
      <c r="AG81" s="155">
        <f t="shared" si="160"/>
        <v>-377510.96494813391</v>
      </c>
      <c r="AH81" s="155">
        <f t="shared" si="160"/>
        <v>-377510.96494813391</v>
      </c>
      <c r="AI81" s="155">
        <f t="shared" si="160"/>
        <v>-377510.96494813391</v>
      </c>
      <c r="AJ81" s="155">
        <f t="shared" si="160"/>
        <v>-324229.37429749372</v>
      </c>
      <c r="AK81" s="155">
        <f t="shared" si="160"/>
        <v>-324229.37429749372</v>
      </c>
      <c r="AL81" s="155">
        <f t="shared" si="160"/>
        <v>-324229.37429749372</v>
      </c>
      <c r="AM81" s="155">
        <f t="shared" si="160"/>
        <v>-270947.78364685352</v>
      </c>
      <c r="AN81" s="184">
        <f t="shared" si="38"/>
        <v>-270947.78364685352</v>
      </c>
      <c r="AO81" s="155"/>
      <c r="AQ81" s="155">
        <f t="shared" si="112"/>
        <v>-557539.71671857988</v>
      </c>
      <c r="AR81" s="155">
        <f t="shared" si="85"/>
        <v>9694.1321861038668</v>
      </c>
      <c r="AS81" s="155">
        <f t="shared" si="138"/>
        <v>8797.0632375390305</v>
      </c>
      <c r="AT81" s="155">
        <f t="shared" si="138"/>
        <v>7928.9319969924163</v>
      </c>
      <c r="AU81" s="155">
        <f t="shared" si="138"/>
        <v>7031.8630484275809</v>
      </c>
      <c r="AV81" s="155">
        <f t="shared" si="138"/>
        <v>6163.7318078809658</v>
      </c>
      <c r="AW81" s="155">
        <f t="shared" si="138"/>
        <v>5266.6628593161304</v>
      </c>
      <c r="AX81" s="155">
        <f t="shared" si="138"/>
        <v>4369.593910751295</v>
      </c>
      <c r="AY81" s="155">
        <f t="shared" si="138"/>
        <v>3559.3380862411209</v>
      </c>
      <c r="AZ81" s="155">
        <f t="shared" si="138"/>
        <v>2662.2691376762859</v>
      </c>
      <c r="BA81" s="155">
        <f t="shared" si="138"/>
        <v>1794.1378971296708</v>
      </c>
      <c r="BB81" s="155">
        <f t="shared" si="138"/>
        <v>897.06894856483541</v>
      </c>
      <c r="BC81" s="155">
        <f t="shared" si="138"/>
        <v>28.937708018220498</v>
      </c>
      <c r="BD81" s="155">
        <f t="shared" si="113"/>
        <v>-430792.55559877411</v>
      </c>
      <c r="BE81" s="155">
        <f t="shared" si="34"/>
        <v>-499345.98589393846</v>
      </c>
    </row>
    <row r="82" spans="1:57" x14ac:dyDescent="0.15">
      <c r="A82" s="39" t="s">
        <v>272</v>
      </c>
      <c r="G82" s="155">
        <v>372071.25</v>
      </c>
      <c r="H82" s="155">
        <f t="shared" si="148"/>
        <v>372071.25</v>
      </c>
      <c r="I82" s="155">
        <f t="shared" si="148"/>
        <v>372071.25</v>
      </c>
      <c r="J82" s="155">
        <f t="shared" si="148"/>
        <v>372071.25</v>
      </c>
      <c r="K82" s="155">
        <f t="shared" si="145"/>
        <v>372071.25</v>
      </c>
      <c r="L82" s="155">
        <f t="shared" si="145"/>
        <v>372071.25</v>
      </c>
      <c r="M82" s="155">
        <f t="shared" si="145"/>
        <v>372071.25</v>
      </c>
      <c r="N82" s="184">
        <f t="shared" si="108"/>
        <v>372071.25</v>
      </c>
      <c r="O82" s="155">
        <f t="shared" si="109"/>
        <v>372071.25</v>
      </c>
      <c r="P82" s="155">
        <f t="shared" ref="P82:Z82" si="161">+O82+SUMIF($B$282:$B$328,$A82,P$282:P$328)</f>
        <v>372071.25</v>
      </c>
      <c r="Q82" s="155">
        <f t="shared" si="161"/>
        <v>372071.25</v>
      </c>
      <c r="R82" s="155">
        <f t="shared" si="161"/>
        <v>372071.25</v>
      </c>
      <c r="S82" s="155">
        <f t="shared" si="161"/>
        <v>372071.25</v>
      </c>
      <c r="T82" s="155">
        <f t="shared" si="161"/>
        <v>372071.25</v>
      </c>
      <c r="U82" s="155">
        <f t="shared" si="161"/>
        <v>372071.25</v>
      </c>
      <c r="V82" s="155">
        <f t="shared" si="161"/>
        <v>372071.25</v>
      </c>
      <c r="W82" s="155">
        <f t="shared" si="161"/>
        <v>372071.25</v>
      </c>
      <c r="X82" s="155">
        <f t="shared" si="161"/>
        <v>372071.25</v>
      </c>
      <c r="Y82" s="155">
        <f t="shared" si="161"/>
        <v>372071.25</v>
      </c>
      <c r="Z82" s="155">
        <f t="shared" si="161"/>
        <v>372071.25</v>
      </c>
      <c r="AA82" s="184">
        <f t="shared" si="36"/>
        <v>372071.25</v>
      </c>
      <c r="AB82" s="155">
        <f t="shared" ref="AB82:AM82" si="162">+AA82+SUMIF($B$282:$B$328,$A82,AB$282:AB$328)</f>
        <v>372071.25</v>
      </c>
      <c r="AC82" s="155">
        <f t="shared" si="162"/>
        <v>372071.25</v>
      </c>
      <c r="AD82" s="155">
        <f t="shared" si="162"/>
        <v>372071.25</v>
      </c>
      <c r="AE82" s="155">
        <f t="shared" si="162"/>
        <v>372071.25</v>
      </c>
      <c r="AF82" s="155">
        <f t="shared" si="162"/>
        <v>372071.25</v>
      </c>
      <c r="AG82" s="155">
        <f t="shared" si="162"/>
        <v>372071.25</v>
      </c>
      <c r="AH82" s="155">
        <f t="shared" si="162"/>
        <v>372071.25</v>
      </c>
      <c r="AI82" s="155">
        <f t="shared" si="162"/>
        <v>372071.25</v>
      </c>
      <c r="AJ82" s="155">
        <f t="shared" si="162"/>
        <v>372071.25</v>
      </c>
      <c r="AK82" s="155">
        <f t="shared" si="162"/>
        <v>372071.25</v>
      </c>
      <c r="AL82" s="155">
        <f t="shared" si="162"/>
        <v>372071.25</v>
      </c>
      <c r="AM82" s="155">
        <f t="shared" si="162"/>
        <v>372071.25</v>
      </c>
      <c r="AN82" s="184">
        <f t="shared" si="38"/>
        <v>372071.25</v>
      </c>
      <c r="AO82" s="155"/>
      <c r="AQ82" s="155">
        <f t="shared" si="112"/>
        <v>372071.25</v>
      </c>
      <c r="AR82" s="155">
        <f t="shared" si="85"/>
        <v>0</v>
      </c>
      <c r="AS82" s="155">
        <f t="shared" si="138"/>
        <v>0</v>
      </c>
      <c r="AT82" s="155">
        <f t="shared" si="138"/>
        <v>0</v>
      </c>
      <c r="AU82" s="155">
        <f t="shared" si="138"/>
        <v>0</v>
      </c>
      <c r="AV82" s="155">
        <f t="shared" si="138"/>
        <v>0</v>
      </c>
      <c r="AW82" s="155">
        <f t="shared" si="138"/>
        <v>0</v>
      </c>
      <c r="AX82" s="155">
        <f t="shared" si="138"/>
        <v>0</v>
      </c>
      <c r="AY82" s="155">
        <f t="shared" si="138"/>
        <v>0</v>
      </c>
      <c r="AZ82" s="155">
        <f t="shared" si="138"/>
        <v>0</v>
      </c>
      <c r="BA82" s="155">
        <f t="shared" si="138"/>
        <v>0</v>
      </c>
      <c r="BB82" s="155">
        <f t="shared" si="138"/>
        <v>0</v>
      </c>
      <c r="BC82" s="155">
        <f t="shared" si="138"/>
        <v>0</v>
      </c>
      <c r="BD82" s="155">
        <f t="shared" si="113"/>
        <v>372071.25</v>
      </c>
      <c r="BE82" s="155">
        <f t="shared" si="34"/>
        <v>372071.25</v>
      </c>
    </row>
    <row r="83" spans="1:57" x14ac:dyDescent="0.15">
      <c r="A83" s="39" t="s">
        <v>273</v>
      </c>
      <c r="G83" s="155">
        <v>-48737.560000000005</v>
      </c>
      <c r="H83" s="155">
        <f t="shared" si="148"/>
        <v>-48737.560000000005</v>
      </c>
      <c r="I83" s="155">
        <f t="shared" si="148"/>
        <v>-48737.560000000005</v>
      </c>
      <c r="J83" s="155">
        <f t="shared" si="148"/>
        <v>-48737.560000000005</v>
      </c>
      <c r="K83" s="155">
        <f t="shared" si="145"/>
        <v>-48737.560000000005</v>
      </c>
      <c r="L83" s="155">
        <f t="shared" si="145"/>
        <v>-48737.560000000005</v>
      </c>
      <c r="M83" s="155">
        <f t="shared" si="145"/>
        <v>-48737.560000000005</v>
      </c>
      <c r="N83" s="184">
        <f t="shared" si="108"/>
        <v>-48737.560000000005</v>
      </c>
      <c r="O83" s="155">
        <f t="shared" si="109"/>
        <v>-48737.560000000005</v>
      </c>
      <c r="P83" s="155">
        <f t="shared" ref="P83:Z83" si="163">+O83+SUMIF($B$282:$B$328,$A83,P$282:P$328)</f>
        <v>-48737.560000000005</v>
      </c>
      <c r="Q83" s="155">
        <f t="shared" si="163"/>
        <v>-48737.560000000005</v>
      </c>
      <c r="R83" s="155">
        <f t="shared" si="163"/>
        <v>-48737.560000000005</v>
      </c>
      <c r="S83" s="155">
        <f t="shared" si="163"/>
        <v>-48737.560000000005</v>
      </c>
      <c r="T83" s="155">
        <f t="shared" si="163"/>
        <v>-48737.560000000005</v>
      </c>
      <c r="U83" s="155">
        <f t="shared" si="163"/>
        <v>-48737.560000000005</v>
      </c>
      <c r="V83" s="155">
        <f t="shared" si="163"/>
        <v>-48737.560000000005</v>
      </c>
      <c r="W83" s="155">
        <f t="shared" si="163"/>
        <v>-48737.560000000005</v>
      </c>
      <c r="X83" s="155">
        <f t="shared" si="163"/>
        <v>-48737.560000000005</v>
      </c>
      <c r="Y83" s="155">
        <f t="shared" si="163"/>
        <v>-48737.560000000005</v>
      </c>
      <c r="Z83" s="155">
        <f t="shared" si="163"/>
        <v>-48737.560000000005</v>
      </c>
      <c r="AA83" s="184">
        <f t="shared" si="36"/>
        <v>-48737.560000000005</v>
      </c>
      <c r="AB83" s="155">
        <f t="shared" ref="AB83:AM83" si="164">+AA83+SUMIF($B$282:$B$328,$A83,AB$282:AB$328)</f>
        <v>-48737.560000000005</v>
      </c>
      <c r="AC83" s="155">
        <f t="shared" si="164"/>
        <v>-48737.560000000005</v>
      </c>
      <c r="AD83" s="155">
        <f t="shared" si="164"/>
        <v>-48737.560000000005</v>
      </c>
      <c r="AE83" s="155">
        <f t="shared" si="164"/>
        <v>-48737.560000000005</v>
      </c>
      <c r="AF83" s="155">
        <f t="shared" si="164"/>
        <v>-48737.560000000005</v>
      </c>
      <c r="AG83" s="155">
        <f t="shared" si="164"/>
        <v>-48737.560000000005</v>
      </c>
      <c r="AH83" s="155">
        <f t="shared" si="164"/>
        <v>-48737.560000000005</v>
      </c>
      <c r="AI83" s="155">
        <f t="shared" si="164"/>
        <v>-48737.560000000005</v>
      </c>
      <c r="AJ83" s="155">
        <f t="shared" si="164"/>
        <v>-48737.560000000005</v>
      </c>
      <c r="AK83" s="155">
        <f t="shared" si="164"/>
        <v>-48737.560000000005</v>
      </c>
      <c r="AL83" s="155">
        <f t="shared" si="164"/>
        <v>-48737.560000000005</v>
      </c>
      <c r="AM83" s="155">
        <f t="shared" si="164"/>
        <v>-48737.560000000005</v>
      </c>
      <c r="AN83" s="184">
        <f t="shared" si="38"/>
        <v>-48737.560000000005</v>
      </c>
      <c r="AO83" s="155"/>
      <c r="AQ83" s="155">
        <f t="shared" si="112"/>
        <v>-48737.560000000005</v>
      </c>
      <c r="AR83" s="155">
        <f t="shared" si="85"/>
        <v>0</v>
      </c>
      <c r="AS83" s="155">
        <f t="shared" si="138"/>
        <v>0</v>
      </c>
      <c r="AT83" s="155">
        <f t="shared" si="138"/>
        <v>0</v>
      </c>
      <c r="AU83" s="155">
        <f t="shared" si="138"/>
        <v>0</v>
      </c>
      <c r="AV83" s="155">
        <f t="shared" si="138"/>
        <v>0</v>
      </c>
      <c r="AW83" s="155">
        <f t="shared" si="138"/>
        <v>0</v>
      </c>
      <c r="AX83" s="155">
        <f t="shared" si="138"/>
        <v>0</v>
      </c>
      <c r="AY83" s="155">
        <f t="shared" si="138"/>
        <v>0</v>
      </c>
      <c r="AZ83" s="155">
        <f t="shared" si="138"/>
        <v>0</v>
      </c>
      <c r="BA83" s="155">
        <f t="shared" si="138"/>
        <v>0</v>
      </c>
      <c r="BB83" s="155">
        <f t="shared" si="138"/>
        <v>0</v>
      </c>
      <c r="BC83" s="155">
        <f t="shared" si="138"/>
        <v>0</v>
      </c>
      <c r="BD83" s="155">
        <f t="shared" si="113"/>
        <v>-48737.560000000005</v>
      </c>
      <c r="BE83" s="155">
        <f t="shared" si="34"/>
        <v>-48737.560000000005</v>
      </c>
    </row>
    <row r="84" spans="1:57" x14ac:dyDescent="0.15">
      <c r="A84" s="39" t="s">
        <v>274</v>
      </c>
      <c r="G84" s="155">
        <v>1475605.5</v>
      </c>
      <c r="H84" s="155">
        <f t="shared" si="148"/>
        <v>1475605.5</v>
      </c>
      <c r="I84" s="155">
        <f t="shared" si="148"/>
        <v>1475605.5</v>
      </c>
      <c r="J84" s="155">
        <f t="shared" si="148"/>
        <v>1475605.5</v>
      </c>
      <c r="K84" s="155">
        <f t="shared" si="145"/>
        <v>1475605.5</v>
      </c>
      <c r="L84" s="155">
        <f t="shared" si="145"/>
        <v>1475605.5</v>
      </c>
      <c r="M84" s="155">
        <f t="shared" si="145"/>
        <v>1475605.5</v>
      </c>
      <c r="N84" s="184">
        <f t="shared" si="108"/>
        <v>1475605.5</v>
      </c>
      <c r="O84" s="155">
        <f t="shared" si="109"/>
        <v>1475605.5</v>
      </c>
      <c r="P84" s="155">
        <f t="shared" ref="P84:Z84" si="165">+O84+SUMIF($B$282:$B$328,$A84,P$282:P$328)</f>
        <v>1475605.5</v>
      </c>
      <c r="Q84" s="155">
        <f t="shared" si="165"/>
        <v>1475605.5</v>
      </c>
      <c r="R84" s="155">
        <f t="shared" si="165"/>
        <v>1475605.5</v>
      </c>
      <c r="S84" s="155">
        <f t="shared" si="165"/>
        <v>1475605.5</v>
      </c>
      <c r="T84" s="155">
        <f t="shared" si="165"/>
        <v>1475605.5</v>
      </c>
      <c r="U84" s="155">
        <f t="shared" si="165"/>
        <v>1475605.5</v>
      </c>
      <c r="V84" s="155">
        <f t="shared" si="165"/>
        <v>1475605.5</v>
      </c>
      <c r="W84" s="155">
        <f t="shared" si="165"/>
        <v>1475605.5</v>
      </c>
      <c r="X84" s="155">
        <f t="shared" si="165"/>
        <v>1475605.5</v>
      </c>
      <c r="Y84" s="155">
        <f t="shared" si="165"/>
        <v>1475605.5</v>
      </c>
      <c r="Z84" s="155">
        <f t="shared" si="165"/>
        <v>1475605.5</v>
      </c>
      <c r="AA84" s="184">
        <f t="shared" si="36"/>
        <v>1475605.5</v>
      </c>
      <c r="AB84" s="155">
        <f t="shared" ref="AB84:AM84" si="166">+AA84+SUMIF($B$282:$B$328,$A84,AB$282:AB$328)</f>
        <v>1475605.5</v>
      </c>
      <c r="AC84" s="155">
        <f t="shared" si="166"/>
        <v>1475605.5</v>
      </c>
      <c r="AD84" s="155">
        <f t="shared" si="166"/>
        <v>1475605.5</v>
      </c>
      <c r="AE84" s="155">
        <f t="shared" si="166"/>
        <v>1475605.5</v>
      </c>
      <c r="AF84" s="155">
        <f t="shared" si="166"/>
        <v>1475605.5</v>
      </c>
      <c r="AG84" s="155">
        <f t="shared" si="166"/>
        <v>1475605.5</v>
      </c>
      <c r="AH84" s="155">
        <f t="shared" si="166"/>
        <v>1475605.5</v>
      </c>
      <c r="AI84" s="155">
        <f t="shared" si="166"/>
        <v>1475605.5</v>
      </c>
      <c r="AJ84" s="155">
        <f t="shared" si="166"/>
        <v>1475605.5</v>
      </c>
      <c r="AK84" s="155">
        <f t="shared" si="166"/>
        <v>1475605.5</v>
      </c>
      <c r="AL84" s="155">
        <f t="shared" si="166"/>
        <v>1475605.5</v>
      </c>
      <c r="AM84" s="155">
        <f t="shared" si="166"/>
        <v>1475605.5</v>
      </c>
      <c r="AN84" s="184">
        <f t="shared" si="38"/>
        <v>1475605.5</v>
      </c>
      <c r="AO84" s="155"/>
      <c r="AQ84" s="155">
        <f t="shared" si="112"/>
        <v>1475605.5</v>
      </c>
      <c r="AR84" s="155">
        <f t="shared" si="85"/>
        <v>0</v>
      </c>
      <c r="AS84" s="155">
        <f t="shared" si="138"/>
        <v>0</v>
      </c>
      <c r="AT84" s="155">
        <f t="shared" si="138"/>
        <v>0</v>
      </c>
      <c r="AU84" s="155">
        <f t="shared" si="138"/>
        <v>0</v>
      </c>
      <c r="AV84" s="155">
        <f t="shared" si="138"/>
        <v>0</v>
      </c>
      <c r="AW84" s="155">
        <f t="shared" si="138"/>
        <v>0</v>
      </c>
      <c r="AX84" s="155">
        <f t="shared" si="138"/>
        <v>0</v>
      </c>
      <c r="AY84" s="155">
        <f t="shared" si="138"/>
        <v>0</v>
      </c>
      <c r="AZ84" s="155">
        <f t="shared" si="138"/>
        <v>0</v>
      </c>
      <c r="BA84" s="155">
        <f t="shared" si="138"/>
        <v>0</v>
      </c>
      <c r="BB84" s="155">
        <f t="shared" si="138"/>
        <v>0</v>
      </c>
      <c r="BC84" s="155">
        <f t="shared" si="138"/>
        <v>0</v>
      </c>
      <c r="BD84" s="155">
        <f t="shared" si="113"/>
        <v>1475605.5</v>
      </c>
      <c r="BE84" s="155">
        <f t="shared" si="34"/>
        <v>1475605.5</v>
      </c>
    </row>
    <row r="85" spans="1:57" x14ac:dyDescent="0.15">
      <c r="A85" s="39" t="s">
        <v>76</v>
      </c>
      <c r="G85" s="155">
        <v>509372.88</v>
      </c>
      <c r="H85" s="155">
        <f t="shared" si="148"/>
        <v>509372.88</v>
      </c>
      <c r="I85" s="155">
        <f t="shared" si="148"/>
        <v>509372.88</v>
      </c>
      <c r="J85" s="155">
        <f t="shared" si="148"/>
        <v>509372.88</v>
      </c>
      <c r="K85" s="155">
        <f t="shared" si="145"/>
        <v>509372.88</v>
      </c>
      <c r="L85" s="155">
        <f t="shared" si="145"/>
        <v>509372.88</v>
      </c>
      <c r="M85" s="155">
        <f t="shared" si="145"/>
        <v>509372.88</v>
      </c>
      <c r="N85" s="184">
        <f t="shared" si="108"/>
        <v>509372.88</v>
      </c>
      <c r="O85" s="155">
        <f t="shared" si="109"/>
        <v>509372.88</v>
      </c>
      <c r="P85" s="155">
        <f t="shared" ref="P85:Z85" si="167">+O85+SUMIF($B$282:$B$328,$A85,P$282:P$328)</f>
        <v>509372.88</v>
      </c>
      <c r="Q85" s="155">
        <f t="shared" si="167"/>
        <v>509372.88</v>
      </c>
      <c r="R85" s="155">
        <f t="shared" si="167"/>
        <v>509372.88</v>
      </c>
      <c r="S85" s="155">
        <f t="shared" si="167"/>
        <v>509372.88</v>
      </c>
      <c r="T85" s="155">
        <f t="shared" si="167"/>
        <v>509372.88</v>
      </c>
      <c r="U85" s="155">
        <f t="shared" si="167"/>
        <v>509372.88</v>
      </c>
      <c r="V85" s="155">
        <f t="shared" si="167"/>
        <v>509372.88</v>
      </c>
      <c r="W85" s="155">
        <f t="shared" si="167"/>
        <v>509372.88</v>
      </c>
      <c r="X85" s="155">
        <f t="shared" si="167"/>
        <v>509372.88</v>
      </c>
      <c r="Y85" s="155">
        <f t="shared" si="167"/>
        <v>509372.88</v>
      </c>
      <c r="Z85" s="155">
        <f t="shared" si="167"/>
        <v>509372.88</v>
      </c>
      <c r="AA85" s="184">
        <f t="shared" si="36"/>
        <v>509372.88</v>
      </c>
      <c r="AB85" s="155">
        <f t="shared" ref="AB85:AM85" si="168">+AA85+SUMIF($B$282:$B$328,$A85,AB$282:AB$328)</f>
        <v>509372.88</v>
      </c>
      <c r="AC85" s="155">
        <f t="shared" si="168"/>
        <v>509372.88</v>
      </c>
      <c r="AD85" s="155">
        <f t="shared" si="168"/>
        <v>509372.88</v>
      </c>
      <c r="AE85" s="155">
        <f t="shared" si="168"/>
        <v>509372.88</v>
      </c>
      <c r="AF85" s="155">
        <f t="shared" si="168"/>
        <v>509372.88</v>
      </c>
      <c r="AG85" s="155">
        <f t="shared" si="168"/>
        <v>509372.88</v>
      </c>
      <c r="AH85" s="155">
        <f t="shared" si="168"/>
        <v>509372.88</v>
      </c>
      <c r="AI85" s="155">
        <f t="shared" si="168"/>
        <v>509372.88</v>
      </c>
      <c r="AJ85" s="155">
        <f t="shared" si="168"/>
        <v>509372.88</v>
      </c>
      <c r="AK85" s="155">
        <f t="shared" si="168"/>
        <v>509372.88</v>
      </c>
      <c r="AL85" s="155">
        <f t="shared" si="168"/>
        <v>509372.88</v>
      </c>
      <c r="AM85" s="155">
        <f t="shared" si="168"/>
        <v>509372.88</v>
      </c>
      <c r="AN85" s="184">
        <f t="shared" si="38"/>
        <v>509372.88</v>
      </c>
      <c r="AO85" s="155"/>
      <c r="AQ85" s="155">
        <f t="shared" si="112"/>
        <v>509372.88</v>
      </c>
      <c r="AR85" s="155">
        <f t="shared" si="85"/>
        <v>0</v>
      </c>
      <c r="AS85" s="155">
        <f t="shared" si="138"/>
        <v>0</v>
      </c>
      <c r="AT85" s="155">
        <f t="shared" si="138"/>
        <v>0</v>
      </c>
      <c r="AU85" s="155">
        <f t="shared" si="138"/>
        <v>0</v>
      </c>
      <c r="AV85" s="155">
        <f t="shared" si="138"/>
        <v>0</v>
      </c>
      <c r="AW85" s="155">
        <f t="shared" si="138"/>
        <v>0</v>
      </c>
      <c r="AX85" s="155">
        <f t="shared" si="138"/>
        <v>0</v>
      </c>
      <c r="AY85" s="155">
        <f t="shared" si="138"/>
        <v>0</v>
      </c>
      <c r="AZ85" s="155">
        <f t="shared" si="138"/>
        <v>0</v>
      </c>
      <c r="BA85" s="155">
        <f t="shared" si="138"/>
        <v>0</v>
      </c>
      <c r="BB85" s="155">
        <f t="shared" si="138"/>
        <v>0</v>
      </c>
      <c r="BC85" s="155">
        <f t="shared" si="138"/>
        <v>0</v>
      </c>
      <c r="BD85" s="155">
        <f t="shared" si="113"/>
        <v>509372.88</v>
      </c>
      <c r="BE85" s="155">
        <f t="shared" si="34"/>
        <v>509372.88</v>
      </c>
    </row>
    <row r="86" spans="1:57" x14ac:dyDescent="0.15">
      <c r="A86" s="39" t="s">
        <v>77</v>
      </c>
      <c r="G86" s="155">
        <v>-3839890.3</v>
      </c>
      <c r="H86" s="155">
        <f t="shared" si="148"/>
        <v>-3839890.3</v>
      </c>
      <c r="I86" s="155">
        <f t="shared" si="148"/>
        <v>-3839890.3</v>
      </c>
      <c r="J86" s="155">
        <f t="shared" si="148"/>
        <v>-3780639.9010996916</v>
      </c>
      <c r="K86" s="155">
        <f t="shared" si="145"/>
        <v>-3780639.9010996916</v>
      </c>
      <c r="L86" s="155">
        <f t="shared" si="145"/>
        <v>-3780639.9010996916</v>
      </c>
      <c r="M86" s="155">
        <f t="shared" si="145"/>
        <v>-3721389.5021993835</v>
      </c>
      <c r="N86" s="184">
        <f t="shared" si="108"/>
        <v>-3721389.5021993835</v>
      </c>
      <c r="O86" s="155">
        <f t="shared" si="109"/>
        <v>-3721389.5021993835</v>
      </c>
      <c r="P86" s="155">
        <f t="shared" ref="P86:Z86" si="169">+O86+SUMIF($B$282:$B$328,$A86,P$282:P$328)</f>
        <v>-3721389.5021993835</v>
      </c>
      <c r="Q86" s="155">
        <f t="shared" si="169"/>
        <v>-3662282.3833393836</v>
      </c>
      <c r="R86" s="155">
        <f t="shared" si="169"/>
        <v>-3662282.3833393836</v>
      </c>
      <c r="S86" s="155">
        <f t="shared" si="169"/>
        <v>-3662282.3833393836</v>
      </c>
      <c r="T86" s="155">
        <f t="shared" si="169"/>
        <v>-3603175.2644793838</v>
      </c>
      <c r="U86" s="155">
        <f t="shared" si="169"/>
        <v>-3603175.2644793838</v>
      </c>
      <c r="V86" s="155">
        <f t="shared" si="169"/>
        <v>-3603175.2644793838</v>
      </c>
      <c r="W86" s="155">
        <f t="shared" si="169"/>
        <v>-3544068.145619384</v>
      </c>
      <c r="X86" s="155">
        <f t="shared" si="169"/>
        <v>-3544068.145619384</v>
      </c>
      <c r="Y86" s="155">
        <f t="shared" si="169"/>
        <v>-3544068.145619384</v>
      </c>
      <c r="Z86" s="155">
        <f t="shared" si="169"/>
        <v>-3484961.0267593842</v>
      </c>
      <c r="AA86" s="184">
        <f t="shared" si="36"/>
        <v>-3484961.0267593842</v>
      </c>
      <c r="AB86" s="155">
        <f t="shared" ref="AB86:AM86" si="170">+AA86+SUMIF($B$282:$B$328,$A86,AB$282:AB$328)</f>
        <v>-3484961.0267593842</v>
      </c>
      <c r="AC86" s="155">
        <f t="shared" si="170"/>
        <v>-3484961.0267593842</v>
      </c>
      <c r="AD86" s="155">
        <f t="shared" si="170"/>
        <v>-3425758.3887041789</v>
      </c>
      <c r="AE86" s="155">
        <f t="shared" si="170"/>
        <v>-3425758.3887041789</v>
      </c>
      <c r="AF86" s="155">
        <f t="shared" si="170"/>
        <v>-3425758.3887041789</v>
      </c>
      <c r="AG86" s="155">
        <f t="shared" si="170"/>
        <v>-3366555.7506489735</v>
      </c>
      <c r="AH86" s="155">
        <f t="shared" si="170"/>
        <v>-3366555.7506489735</v>
      </c>
      <c r="AI86" s="155">
        <f t="shared" si="170"/>
        <v>-3366555.7506489735</v>
      </c>
      <c r="AJ86" s="155">
        <f t="shared" si="170"/>
        <v>-3307353.1125937682</v>
      </c>
      <c r="AK86" s="155">
        <f t="shared" si="170"/>
        <v>-3307353.1125937682</v>
      </c>
      <c r="AL86" s="155">
        <f t="shared" si="170"/>
        <v>-3307353.1125937682</v>
      </c>
      <c r="AM86" s="155">
        <f t="shared" si="170"/>
        <v>-3248150.4745385628</v>
      </c>
      <c r="AN86" s="184">
        <f t="shared" si="38"/>
        <v>-3248150.4745385628</v>
      </c>
      <c r="AO86" s="155"/>
      <c r="AQ86" s="155">
        <f t="shared" si="112"/>
        <v>-3662282.3833393836</v>
      </c>
      <c r="AR86" s="155">
        <f t="shared" si="85"/>
        <v>18090.305525751963</v>
      </c>
      <c r="AS86" s="155">
        <f t="shared" si="138"/>
        <v>16416.27725321969</v>
      </c>
      <c r="AT86" s="155">
        <f t="shared" si="138"/>
        <v>14796.249892704591</v>
      </c>
      <c r="AU86" s="155">
        <f t="shared" si="138"/>
        <v>13122.22162017232</v>
      </c>
      <c r="AV86" s="155">
        <f t="shared" si="138"/>
        <v>11502.194259657219</v>
      </c>
      <c r="AW86" s="155">
        <f t="shared" si="138"/>
        <v>9828.1659871249467</v>
      </c>
      <c r="AX86" s="155">
        <f t="shared" si="138"/>
        <v>8154.1377145926763</v>
      </c>
      <c r="AY86" s="155">
        <f t="shared" si="138"/>
        <v>6642.1121781119145</v>
      </c>
      <c r="AZ86" s="155">
        <f t="shared" si="138"/>
        <v>4968.0839055796441</v>
      </c>
      <c r="BA86" s="155">
        <f t="shared" si="138"/>
        <v>3348.0565450645422</v>
      </c>
      <c r="BB86" s="155">
        <f t="shared" si="138"/>
        <v>1674.0282725322711</v>
      </c>
      <c r="BC86" s="155">
        <f t="shared" si="138"/>
        <v>54.000912017170037</v>
      </c>
      <c r="BD86" s="155">
        <f t="shared" si="113"/>
        <v>-3425758.3887041789</v>
      </c>
      <c r="BE86" s="155">
        <f t="shared" si="34"/>
        <v>-3553686.5492728548</v>
      </c>
    </row>
    <row r="87" spans="1:57" x14ac:dyDescent="0.15">
      <c r="A87" s="39" t="s">
        <v>78</v>
      </c>
      <c r="G87" s="155">
        <f>-44529090.69+10593315</f>
        <v>-33935775.689999998</v>
      </c>
      <c r="H87" s="155">
        <f t="shared" si="148"/>
        <v>-33935775.689999998</v>
      </c>
      <c r="I87" s="155">
        <f t="shared" si="148"/>
        <v>-33935775.689999998</v>
      </c>
      <c r="J87" s="155">
        <f>+I87+SUMIF($B$282:$B$328,$A87,J$282:J$328)-3592523+652523</f>
        <v>-48820486.111635134</v>
      </c>
      <c r="K87" s="155">
        <f t="shared" si="145"/>
        <v>-48820486.111635134</v>
      </c>
      <c r="L87" s="155">
        <f t="shared" si="145"/>
        <v>-48820486.111635134</v>
      </c>
      <c r="M87" s="155">
        <f t="shared" si="145"/>
        <v>-58560164.203299932</v>
      </c>
      <c r="N87" s="184">
        <f t="shared" si="108"/>
        <v>-58560164.203299932</v>
      </c>
      <c r="O87" s="155">
        <f t="shared" si="109"/>
        <v>-58560164.203299932</v>
      </c>
      <c r="P87" s="155">
        <f t="shared" ref="P87:Y87" si="171">+O87+SUMIF($B$282:$B$328,$A87,P$282:P$328)</f>
        <v>-58560164.203299932</v>
      </c>
      <c r="Q87" s="155">
        <f t="shared" si="171"/>
        <v>-69269508.555676103</v>
      </c>
      <c r="R87" s="155">
        <f t="shared" si="171"/>
        <v>-69269508.555676103</v>
      </c>
      <c r="S87" s="155">
        <f t="shared" si="171"/>
        <v>-69269508.555676103</v>
      </c>
      <c r="T87" s="155">
        <f t="shared" si="171"/>
        <v>-79978852.908052266</v>
      </c>
      <c r="U87" s="155">
        <f t="shared" si="171"/>
        <v>-79978852.908052266</v>
      </c>
      <c r="V87" s="155">
        <f t="shared" si="171"/>
        <v>-79978852.908052266</v>
      </c>
      <c r="W87" s="155">
        <f t="shared" si="171"/>
        <v>-90688197.260428429</v>
      </c>
      <c r="X87" s="155">
        <f t="shared" si="171"/>
        <v>-90688197.260428429</v>
      </c>
      <c r="Y87" s="155">
        <f t="shared" si="171"/>
        <v>-90688197.260428429</v>
      </c>
      <c r="Z87" s="155">
        <f>+Y87+SUMIF($B$282:$B$328,$A87,Z$282:Z$328)+386705</f>
        <v>-101010836.61280459</v>
      </c>
      <c r="AA87" s="184">
        <f t="shared" si="36"/>
        <v>-101010836.61280459</v>
      </c>
      <c r="AB87" s="155">
        <f t="shared" ref="AB87:AM87" si="172">+AA87+SUMIF($B$282:$B$328,$A87,AB$282:AB$328)</f>
        <v>-101010836.61280459</v>
      </c>
      <c r="AC87" s="155">
        <f t="shared" si="172"/>
        <v>-101010836.61280459</v>
      </c>
      <c r="AD87" s="155">
        <f t="shared" si="172"/>
        <v>-112015686.82208452</v>
      </c>
      <c r="AE87" s="155">
        <f t="shared" si="172"/>
        <v>-112015686.82208452</v>
      </c>
      <c r="AF87" s="155">
        <f t="shared" si="172"/>
        <v>-112015686.82208452</v>
      </c>
      <c r="AG87" s="155">
        <f t="shared" si="172"/>
        <v>-123020537.03136444</v>
      </c>
      <c r="AH87" s="155">
        <f t="shared" si="172"/>
        <v>-123020537.03136444</v>
      </c>
      <c r="AI87" s="155">
        <f t="shared" si="172"/>
        <v>-123020537.03136444</v>
      </c>
      <c r="AJ87" s="155">
        <f t="shared" si="172"/>
        <v>-134025387.24064437</v>
      </c>
      <c r="AK87" s="155">
        <f t="shared" si="172"/>
        <v>-134025387.24064437</v>
      </c>
      <c r="AL87" s="155">
        <f t="shared" si="172"/>
        <v>-134025387.24064437</v>
      </c>
      <c r="AM87" s="155">
        <f t="shared" si="172"/>
        <v>-145030237.44992429</v>
      </c>
      <c r="AN87" s="184">
        <f t="shared" si="38"/>
        <v>-145030237.44992429</v>
      </c>
      <c r="AO87" s="155"/>
      <c r="AQ87" s="155">
        <f t="shared" si="112"/>
        <v>-69269508.555676103</v>
      </c>
      <c r="AR87" s="155">
        <f t="shared" si="85"/>
        <v>-3269399.4792800955</v>
      </c>
      <c r="AS87" s="155">
        <f t="shared" si="138"/>
        <v>-2966858.0349288033</v>
      </c>
      <c r="AT87" s="155">
        <f t="shared" si="138"/>
        <v>-2674075.9920081976</v>
      </c>
      <c r="AU87" s="155">
        <f t="shared" si="138"/>
        <v>-2371534.5476569054</v>
      </c>
      <c r="AV87" s="155">
        <f t="shared" si="138"/>
        <v>-2078752.5047362999</v>
      </c>
      <c r="AW87" s="155">
        <f t="shared" si="138"/>
        <v>-1776211.0603850072</v>
      </c>
      <c r="AX87" s="155">
        <f t="shared" si="138"/>
        <v>-1473669.616033715</v>
      </c>
      <c r="AY87" s="155">
        <f t="shared" si="138"/>
        <v>-1200406.3759744829</v>
      </c>
      <c r="AZ87" s="155">
        <f t="shared" si="138"/>
        <v>-897864.93162319052</v>
      </c>
      <c r="BA87" s="155">
        <f t="shared" si="138"/>
        <v>-605082.8887025849</v>
      </c>
      <c r="BB87" s="155">
        <f t="shared" si="138"/>
        <v>-302541.44435129245</v>
      </c>
      <c r="BC87" s="155">
        <f t="shared" si="138"/>
        <v>-9759.4014306868521</v>
      </c>
      <c r="BD87" s="155">
        <f t="shared" si="113"/>
        <v>-112015686.82208452</v>
      </c>
      <c r="BE87" s="155">
        <f t="shared" si="34"/>
        <v>-88895664.83278735</v>
      </c>
    </row>
    <row r="88" spans="1:57" x14ac:dyDescent="0.15">
      <c r="A88" s="39" t="s">
        <v>79</v>
      </c>
      <c r="G88" s="155">
        <v>-3268063.91</v>
      </c>
      <c r="H88" s="155">
        <f t="shared" si="148"/>
        <v>-3268063.91</v>
      </c>
      <c r="I88" s="155">
        <f t="shared" si="148"/>
        <v>-3268063.91</v>
      </c>
      <c r="J88" s="155">
        <f t="shared" si="148"/>
        <v>-6239712.2090604585</v>
      </c>
      <c r="K88" s="155">
        <f t="shared" si="145"/>
        <v>-6239712.2090604585</v>
      </c>
      <c r="L88" s="155">
        <f t="shared" si="145"/>
        <v>-6239712.2090604585</v>
      </c>
      <c r="M88" s="155">
        <f t="shared" si="145"/>
        <v>-9211360.5081209168</v>
      </c>
      <c r="N88" s="184">
        <f t="shared" si="108"/>
        <v>-9211360.5081209168</v>
      </c>
      <c r="O88" s="155">
        <f t="shared" si="109"/>
        <v>-9211360.5081209168</v>
      </c>
      <c r="P88" s="155">
        <f t="shared" ref="P88:Z88" si="173">+O88+SUMIF($B$282:$B$328,$A88,P$282:P$328)</f>
        <v>-9211360.5081209168</v>
      </c>
      <c r="Q88" s="155">
        <f t="shared" si="173"/>
        <v>-12385580.881180746</v>
      </c>
      <c r="R88" s="155">
        <f t="shared" si="173"/>
        <v>-12385580.881180746</v>
      </c>
      <c r="S88" s="155">
        <f t="shared" si="173"/>
        <v>-12385580.881180746</v>
      </c>
      <c r="T88" s="155">
        <f t="shared" si="173"/>
        <v>-15559801.254240576</v>
      </c>
      <c r="U88" s="155">
        <f t="shared" si="173"/>
        <v>-15559801.254240576</v>
      </c>
      <c r="V88" s="155">
        <f t="shared" si="173"/>
        <v>-15559801.254240576</v>
      </c>
      <c r="W88" s="155">
        <f t="shared" si="173"/>
        <v>-18734021.627300404</v>
      </c>
      <c r="X88" s="155">
        <f t="shared" si="173"/>
        <v>-18734021.627300404</v>
      </c>
      <c r="Y88" s="155">
        <f t="shared" si="173"/>
        <v>-18734021.627300404</v>
      </c>
      <c r="Z88" s="155">
        <f t="shared" si="173"/>
        <v>-21908242.000360232</v>
      </c>
      <c r="AA88" s="184">
        <f t="shared" si="36"/>
        <v>-21908242.000360232</v>
      </c>
      <c r="AB88" s="155">
        <f t="shared" ref="AB88:AM88" si="174">+AA88+SUMIF($B$282:$B$328,$A88,AB$282:AB$328)</f>
        <v>-21908242.000360232</v>
      </c>
      <c r="AC88" s="155">
        <f t="shared" si="174"/>
        <v>-21908242.000360232</v>
      </c>
      <c r="AD88" s="155">
        <f t="shared" si="174"/>
        <v>-25005618.851699423</v>
      </c>
      <c r="AE88" s="155">
        <f t="shared" si="174"/>
        <v>-25005618.851699423</v>
      </c>
      <c r="AF88" s="155">
        <f t="shared" si="174"/>
        <v>-25005618.851699423</v>
      </c>
      <c r="AG88" s="155">
        <f t="shared" si="174"/>
        <v>-28102995.703038614</v>
      </c>
      <c r="AH88" s="155">
        <f t="shared" si="174"/>
        <v>-28102995.703038614</v>
      </c>
      <c r="AI88" s="155">
        <f t="shared" si="174"/>
        <v>-28102995.703038614</v>
      </c>
      <c r="AJ88" s="155">
        <f t="shared" si="174"/>
        <v>-31200372.554377805</v>
      </c>
      <c r="AK88" s="155">
        <f t="shared" si="174"/>
        <v>-31200372.554377805</v>
      </c>
      <c r="AL88" s="155">
        <f t="shared" si="174"/>
        <v>-31200372.554377805</v>
      </c>
      <c r="AM88" s="155">
        <f t="shared" si="174"/>
        <v>-34297749.405717</v>
      </c>
      <c r="AN88" s="184">
        <f t="shared" si="38"/>
        <v>-34297749.405717</v>
      </c>
      <c r="AO88" s="155"/>
      <c r="AQ88" s="155">
        <f t="shared" si="112"/>
        <v>-12385580.881180746</v>
      </c>
      <c r="AR88" s="155">
        <f t="shared" si="85"/>
        <v>-965231.21464012715</v>
      </c>
      <c r="AS88" s="155">
        <f t="shared" si="138"/>
        <v>-875911.31119581696</v>
      </c>
      <c r="AT88" s="155">
        <f t="shared" si="138"/>
        <v>-789472.69495938765</v>
      </c>
      <c r="AU88" s="155">
        <f t="shared" si="138"/>
        <v>-700152.79151507735</v>
      </c>
      <c r="AV88" s="155">
        <f t="shared" si="138"/>
        <v>-613714.17527864804</v>
      </c>
      <c r="AW88" s="155">
        <f t="shared" si="138"/>
        <v>-524394.27183433773</v>
      </c>
      <c r="AX88" s="155">
        <f t="shared" si="138"/>
        <v>-435074.36839002749</v>
      </c>
      <c r="AY88" s="155">
        <f t="shared" si="138"/>
        <v>-354398.3265693601</v>
      </c>
      <c r="AZ88" s="155">
        <f t="shared" si="138"/>
        <v>-265078.42312504986</v>
      </c>
      <c r="BA88" s="155">
        <f t="shared" si="138"/>
        <v>-178639.80688862054</v>
      </c>
      <c r="BB88" s="155">
        <f t="shared" si="138"/>
        <v>-89319.903444310272</v>
      </c>
      <c r="BC88" s="155">
        <f t="shared" si="138"/>
        <v>-2881.2872078809764</v>
      </c>
      <c r="BD88" s="155">
        <f t="shared" si="113"/>
        <v>-25005618.851699423</v>
      </c>
      <c r="BE88" s="155">
        <f t="shared" si="34"/>
        <v>-18179849.456229389</v>
      </c>
    </row>
    <row r="89" spans="1:57" x14ac:dyDescent="0.15">
      <c r="A89" s="39" t="s">
        <v>625</v>
      </c>
      <c r="G89" s="155">
        <v>-546281.69000000006</v>
      </c>
      <c r="H89" s="155">
        <f t="shared" si="148"/>
        <v>-546281.69000000006</v>
      </c>
      <c r="I89" s="155">
        <f t="shared" si="148"/>
        <v>-546281.69000000006</v>
      </c>
      <c r="J89" s="155">
        <f t="shared" si="148"/>
        <v>-416535.56789375009</v>
      </c>
      <c r="K89" s="155">
        <f t="shared" si="145"/>
        <v>-416535.56789375009</v>
      </c>
      <c r="L89" s="155">
        <f t="shared" si="145"/>
        <v>-416535.56789375009</v>
      </c>
      <c r="M89" s="155">
        <f t="shared" si="145"/>
        <v>-286789.44578750012</v>
      </c>
      <c r="N89" s="184">
        <f t="shared" si="108"/>
        <v>-286789.44578750012</v>
      </c>
      <c r="O89" s="155">
        <f t="shared" si="109"/>
        <v>-286789.44578750012</v>
      </c>
      <c r="P89" s="155">
        <f t="shared" ref="P89:Z89" si="175">+O89+SUMIF($B$282:$B$328,$A89,P$282:P$328)</f>
        <v>-286789.44578750012</v>
      </c>
      <c r="Q89" s="155">
        <f t="shared" si="175"/>
        <v>-360948.86658875016</v>
      </c>
      <c r="R89" s="155">
        <f t="shared" si="175"/>
        <v>-360948.86658875016</v>
      </c>
      <c r="S89" s="155">
        <f t="shared" si="175"/>
        <v>-360948.86658875016</v>
      </c>
      <c r="T89" s="155">
        <f t="shared" si="175"/>
        <v>-435108.28739000019</v>
      </c>
      <c r="U89" s="155">
        <f t="shared" si="175"/>
        <v>-435108.28739000019</v>
      </c>
      <c r="V89" s="155">
        <f t="shared" si="175"/>
        <v>-435108.28739000019</v>
      </c>
      <c r="W89" s="155">
        <f t="shared" si="175"/>
        <v>-509267.70819125022</v>
      </c>
      <c r="X89" s="155">
        <f t="shared" si="175"/>
        <v>-509267.70819125022</v>
      </c>
      <c r="Y89" s="155">
        <f t="shared" si="175"/>
        <v>-509267.70819125022</v>
      </c>
      <c r="Z89" s="155">
        <f t="shared" si="175"/>
        <v>-583427.12899250025</v>
      </c>
      <c r="AA89" s="184">
        <f>+Z89</f>
        <v>-583427.12899250025</v>
      </c>
      <c r="AB89" s="155">
        <f t="shared" ref="AB89:AM89" si="176">+AA89+SUMIF($B$282:$B$328,$A89,AB$282:AB$328)</f>
        <v>-583427.12899250025</v>
      </c>
      <c r="AC89" s="155">
        <f t="shared" si="176"/>
        <v>-583427.12899250025</v>
      </c>
      <c r="AD89" s="155">
        <f t="shared" si="176"/>
        <v>-355998.2114912502</v>
      </c>
      <c r="AE89" s="155">
        <f t="shared" si="176"/>
        <v>-355998.2114912502</v>
      </c>
      <c r="AF89" s="155">
        <f t="shared" si="176"/>
        <v>-355998.2114912502</v>
      </c>
      <c r="AG89" s="155">
        <f t="shared" si="176"/>
        <v>-128569.29399000018</v>
      </c>
      <c r="AH89" s="155">
        <f t="shared" si="176"/>
        <v>-128569.29399000018</v>
      </c>
      <c r="AI89" s="155">
        <f t="shared" si="176"/>
        <v>-128569.29399000018</v>
      </c>
      <c r="AJ89" s="155">
        <f t="shared" si="176"/>
        <v>98859.62351124984</v>
      </c>
      <c r="AK89" s="155">
        <f t="shared" si="176"/>
        <v>98859.62351124984</v>
      </c>
      <c r="AL89" s="155">
        <f t="shared" si="176"/>
        <v>98859.62351124984</v>
      </c>
      <c r="AM89" s="155">
        <f t="shared" si="176"/>
        <v>326288.54101249983</v>
      </c>
      <c r="AN89" s="184">
        <f>+AM89</f>
        <v>326288.54101249983</v>
      </c>
      <c r="AO89" s="155"/>
      <c r="AQ89" s="155">
        <f t="shared" si="112"/>
        <v>-360948.86658875016</v>
      </c>
      <c r="AR89" s="155">
        <f t="shared" si="85"/>
        <v>378.64599490011079</v>
      </c>
      <c r="AS89" s="155">
        <f t="shared" si="138"/>
        <v>343.60711178995126</v>
      </c>
      <c r="AT89" s="155">
        <f t="shared" si="138"/>
        <v>309.69851523173242</v>
      </c>
      <c r="AU89" s="155">
        <f t="shared" si="138"/>
        <v>274.65963212157288</v>
      </c>
      <c r="AV89" s="155">
        <f t="shared" si="138"/>
        <v>240.75103556335404</v>
      </c>
      <c r="AW89" s="155">
        <f t="shared" si="138"/>
        <v>205.71215245319451</v>
      </c>
      <c r="AX89" s="155">
        <f t="shared" si="138"/>
        <v>170.673269343035</v>
      </c>
      <c r="AY89" s="155">
        <f t="shared" si="138"/>
        <v>139.02524588869738</v>
      </c>
      <c r="AZ89" s="155">
        <f t="shared" si="138"/>
        <v>103.9863627785379</v>
      </c>
      <c r="BA89" s="155">
        <f t="shared" si="138"/>
        <v>70.077766220319006</v>
      </c>
      <c r="BB89" s="155">
        <f t="shared" si="138"/>
        <v>35.038883110159503</v>
      </c>
      <c r="BC89" s="155">
        <f t="shared" si="138"/>
        <v>1.1302865519406291</v>
      </c>
      <c r="BD89" s="155">
        <f t="shared" si="113"/>
        <v>-355998.2114912502</v>
      </c>
      <c r="BE89" s="155">
        <f t="shared" si="34"/>
        <v>-358675.86033279763</v>
      </c>
    </row>
    <row r="90" spans="1:57" x14ac:dyDescent="0.15">
      <c r="A90" s="39" t="s">
        <v>80</v>
      </c>
      <c r="G90" s="155">
        <v>-5726748.75</v>
      </c>
      <c r="H90" s="155">
        <f t="shared" si="148"/>
        <v>-5726748.75</v>
      </c>
      <c r="I90" s="155">
        <f t="shared" si="148"/>
        <v>-5726748.75</v>
      </c>
      <c r="J90" s="155">
        <f t="shared" si="148"/>
        <v>-7242299.8248489387</v>
      </c>
      <c r="K90" s="155">
        <f t="shared" si="145"/>
        <v>-7242299.8248489387</v>
      </c>
      <c r="L90" s="155">
        <f t="shared" si="145"/>
        <v>-7242299.8248489387</v>
      </c>
      <c r="M90" s="155">
        <f t="shared" si="145"/>
        <v>-8757850.8996978775</v>
      </c>
      <c r="N90" s="184">
        <f t="shared" si="108"/>
        <v>-8757850.8996978775</v>
      </c>
      <c r="O90" s="155">
        <f t="shared" si="109"/>
        <v>-8757850.8996978775</v>
      </c>
      <c r="P90" s="155">
        <f t="shared" ref="P90:Z90" si="177">+O90+SUMIF($B$282:$B$328,$A90,P$282:P$328)</f>
        <v>-8757850.8996978775</v>
      </c>
      <c r="Q90" s="155">
        <f t="shared" si="177"/>
        <v>-10326395.621928407</v>
      </c>
      <c r="R90" s="155">
        <f t="shared" si="177"/>
        <v>-10326395.621928407</v>
      </c>
      <c r="S90" s="155">
        <f t="shared" si="177"/>
        <v>-10326395.621928407</v>
      </c>
      <c r="T90" s="155">
        <f t="shared" si="177"/>
        <v>-11894940.344158936</v>
      </c>
      <c r="U90" s="155">
        <f t="shared" si="177"/>
        <v>-11894940.344158936</v>
      </c>
      <c r="V90" s="155">
        <f t="shared" si="177"/>
        <v>-11894940.344158936</v>
      </c>
      <c r="W90" s="155">
        <f t="shared" si="177"/>
        <v>-13463485.066389466</v>
      </c>
      <c r="X90" s="155">
        <f t="shared" si="177"/>
        <v>-13463485.066389466</v>
      </c>
      <c r="Y90" s="155">
        <f t="shared" si="177"/>
        <v>-13463485.066389466</v>
      </c>
      <c r="Z90" s="155">
        <f t="shared" si="177"/>
        <v>-15032029.788619995</v>
      </c>
      <c r="AA90" s="184">
        <f t="shared" si="36"/>
        <v>-15032029.788619995</v>
      </c>
      <c r="AB90" s="155">
        <f t="shared" ref="AB90:AM90" si="178">+AA90+SUMIF($B$282:$B$328,$A90,AB$282:AB$328)</f>
        <v>-15032029.788619995</v>
      </c>
      <c r="AC90" s="155">
        <f t="shared" si="178"/>
        <v>-15032029.788619995</v>
      </c>
      <c r="AD90" s="155">
        <f t="shared" si="178"/>
        <v>-16608733.308078485</v>
      </c>
      <c r="AE90" s="155">
        <f t="shared" si="178"/>
        <v>-16608733.308078485</v>
      </c>
      <c r="AF90" s="155">
        <f t="shared" si="178"/>
        <v>-16608733.308078485</v>
      </c>
      <c r="AG90" s="155">
        <f t="shared" si="178"/>
        <v>-18185436.827536974</v>
      </c>
      <c r="AH90" s="155">
        <f t="shared" si="178"/>
        <v>-18185436.827536974</v>
      </c>
      <c r="AI90" s="155">
        <f t="shared" si="178"/>
        <v>-18185436.827536974</v>
      </c>
      <c r="AJ90" s="155">
        <f t="shared" si="178"/>
        <v>-19762140.346995465</v>
      </c>
      <c r="AK90" s="155">
        <f t="shared" si="178"/>
        <v>-19762140.346995465</v>
      </c>
      <c r="AL90" s="155">
        <f t="shared" si="178"/>
        <v>-19762140.346995465</v>
      </c>
      <c r="AM90" s="155">
        <f t="shared" si="178"/>
        <v>-21338843.866453957</v>
      </c>
      <c r="AN90" s="184">
        <f t="shared" si="38"/>
        <v>-21338843.866453957</v>
      </c>
      <c r="AO90" s="155"/>
      <c r="AQ90" s="155">
        <f t="shared" si="112"/>
        <v>-10326395.621928407</v>
      </c>
      <c r="AR90" s="155">
        <f t="shared" si="85"/>
        <v>-480498.43033339636</v>
      </c>
      <c r="AS90" s="155">
        <f t="shared" si="138"/>
        <v>-436034.39648164925</v>
      </c>
      <c r="AT90" s="155">
        <f t="shared" si="138"/>
        <v>-393004.68630253914</v>
      </c>
      <c r="AU90" s="155">
        <f t="shared" si="138"/>
        <v>-348540.65245079203</v>
      </c>
      <c r="AV90" s="155">
        <f t="shared" si="138"/>
        <v>-305510.94227168191</v>
      </c>
      <c r="AW90" s="155">
        <f t="shared" si="138"/>
        <v>-261046.90841993474</v>
      </c>
      <c r="AX90" s="155">
        <f t="shared" si="138"/>
        <v>-216582.87456818763</v>
      </c>
      <c r="AY90" s="155">
        <f t="shared" si="138"/>
        <v>-176421.8117343515</v>
      </c>
      <c r="AZ90" s="155">
        <f t="shared" si="138"/>
        <v>-131957.77788260439</v>
      </c>
      <c r="BA90" s="155">
        <f t="shared" si="138"/>
        <v>-88928.067703494249</v>
      </c>
      <c r="BB90" s="155">
        <f t="shared" si="138"/>
        <v>-44464.033851747125</v>
      </c>
      <c r="BC90" s="155">
        <f t="shared" si="138"/>
        <v>-1434.3236726370042</v>
      </c>
      <c r="BD90" s="155">
        <f t="shared" si="113"/>
        <v>-16608733.308078485</v>
      </c>
      <c r="BE90" s="155">
        <f t="shared" si="34"/>
        <v>-13210820.527601425</v>
      </c>
    </row>
    <row r="91" spans="1:57" x14ac:dyDescent="0.15">
      <c r="A91" s="39" t="s">
        <v>81</v>
      </c>
      <c r="G91" s="155">
        <v>-1381724.46</v>
      </c>
      <c r="H91" s="155">
        <f t="shared" si="148"/>
        <v>-1392910.05913483</v>
      </c>
      <c r="I91" s="155">
        <f t="shared" si="148"/>
        <v>-1404095.6582696601</v>
      </c>
      <c r="J91" s="155">
        <f t="shared" si="148"/>
        <v>-1418132.21905199</v>
      </c>
      <c r="K91" s="155">
        <f t="shared" si="145"/>
        <v>-1429317.81818682</v>
      </c>
      <c r="L91" s="155">
        <f t="shared" si="145"/>
        <v>-1440503.4173216501</v>
      </c>
      <c r="M91" s="155">
        <f t="shared" si="145"/>
        <v>-1454539.97810398</v>
      </c>
      <c r="N91" s="184">
        <f t="shared" ref="N91:N99" si="179">+M91</f>
        <v>-1454539.97810398</v>
      </c>
      <c r="O91" s="155">
        <f t="shared" ref="O91:O99" si="180">+N91+SUMIF($B$282:$B$328,$A91,O$282:O$328)</f>
        <v>-1465725.57723881</v>
      </c>
      <c r="P91" s="155">
        <f t="shared" ref="P91:Z91" si="181">+O91+SUMIF($B$282:$B$328,$A91,P$282:P$328)</f>
        <v>-1476911.1763736401</v>
      </c>
      <c r="Q91" s="155">
        <f t="shared" si="181"/>
        <v>-1490947.73715597</v>
      </c>
      <c r="R91" s="155">
        <f t="shared" si="181"/>
        <v>-1502133.3362908</v>
      </c>
      <c r="S91" s="155">
        <f t="shared" si="181"/>
        <v>-1513318.9354256301</v>
      </c>
      <c r="T91" s="155">
        <f t="shared" si="181"/>
        <v>-1527355.4962079599</v>
      </c>
      <c r="U91" s="155">
        <f t="shared" si="181"/>
        <v>-1538541.09534279</v>
      </c>
      <c r="V91" s="155">
        <f t="shared" si="181"/>
        <v>-1549726.6944776201</v>
      </c>
      <c r="W91" s="155">
        <f t="shared" si="181"/>
        <v>-1563763.2552599499</v>
      </c>
      <c r="X91" s="155">
        <f t="shared" si="181"/>
        <v>-1574948.85439478</v>
      </c>
      <c r="Y91" s="155">
        <f t="shared" si="181"/>
        <v>-1586134.4535296101</v>
      </c>
      <c r="Z91" s="155">
        <f t="shared" si="181"/>
        <v>-1600171.0143119399</v>
      </c>
      <c r="AA91" s="184">
        <f t="shared" si="36"/>
        <v>-1600171.0143119399</v>
      </c>
      <c r="AB91" s="155">
        <f t="shared" ref="AB91:AM91" si="182">+AA91+SUMIF($B$282:$B$328,$A91,AB$282:AB$328)</f>
        <v>-1611356.61344677</v>
      </c>
      <c r="AC91" s="155">
        <f t="shared" si="182"/>
        <v>-1622542.2125816001</v>
      </c>
      <c r="AD91" s="155">
        <f t="shared" si="182"/>
        <v>-1636578.7733639299</v>
      </c>
      <c r="AE91" s="155">
        <f t="shared" si="182"/>
        <v>-1647764.37249876</v>
      </c>
      <c r="AF91" s="155">
        <f t="shared" si="182"/>
        <v>-1658949.9716335901</v>
      </c>
      <c r="AG91" s="155">
        <f t="shared" si="182"/>
        <v>-1672986.5324159199</v>
      </c>
      <c r="AH91" s="155">
        <f t="shared" si="182"/>
        <v>-1684172.13155075</v>
      </c>
      <c r="AI91" s="155">
        <f t="shared" si="182"/>
        <v>-1695357.7306855801</v>
      </c>
      <c r="AJ91" s="155">
        <f t="shared" si="182"/>
        <v>-1709394.2914679099</v>
      </c>
      <c r="AK91" s="155">
        <f t="shared" si="182"/>
        <v>-1720579.89060274</v>
      </c>
      <c r="AL91" s="155">
        <f t="shared" si="182"/>
        <v>-1731765.4897375701</v>
      </c>
      <c r="AM91" s="155">
        <f t="shared" si="182"/>
        <v>-1745802.0505198999</v>
      </c>
      <c r="AN91" s="184">
        <f t="shared" si="38"/>
        <v>-1745802.0505198999</v>
      </c>
      <c r="AO91" s="155"/>
      <c r="AQ91" s="155">
        <f t="shared" ref="AQ91:AQ99" si="183">+R91</f>
        <v>-1502133.3362908</v>
      </c>
      <c r="AR91" s="155">
        <f t="shared" si="85"/>
        <v>-11138.446833257214</v>
      </c>
      <c r="AS91" s="155">
        <f t="shared" si="138"/>
        <v>-10107.724887493114</v>
      </c>
      <c r="AT91" s="155">
        <f t="shared" si="138"/>
        <v>-9110.2520367536617</v>
      </c>
      <c r="AU91" s="155">
        <f t="shared" si="138"/>
        <v>-8079.5300909895623</v>
      </c>
      <c r="AV91" s="155">
        <f t="shared" si="138"/>
        <v>-7082.0572402501102</v>
      </c>
      <c r="AW91" s="155">
        <f t="shared" si="138"/>
        <v>-6051.3352944860089</v>
      </c>
      <c r="AX91" s="155">
        <f t="shared" si="138"/>
        <v>-5020.6133487219086</v>
      </c>
      <c r="AY91" s="155">
        <f t="shared" si="138"/>
        <v>-4089.6386880317532</v>
      </c>
      <c r="AZ91" s="155">
        <f t="shared" si="138"/>
        <v>-3058.9167422676533</v>
      </c>
      <c r="BA91" s="155">
        <f t="shared" si="138"/>
        <v>-2061.4438915282008</v>
      </c>
      <c r="BB91" s="155">
        <f t="shared" si="138"/>
        <v>-1030.7219457641004</v>
      </c>
      <c r="BC91" s="155">
        <f t="shared" si="138"/>
        <v>-33.249095024648398</v>
      </c>
      <c r="BD91" s="155">
        <f t="shared" ref="BD91:BD99" si="184">+AE91</f>
        <v>-1647764.37249876</v>
      </c>
      <c r="BE91" s="155">
        <f t="shared" ref="BE91:BE99" si="185">SUM(AQ91:BC91)</f>
        <v>-1568997.2663853676</v>
      </c>
    </row>
    <row r="92" spans="1:57" x14ac:dyDescent="0.15">
      <c r="A92" s="39" t="s">
        <v>655</v>
      </c>
      <c r="G92" s="155">
        <v>2545733.14</v>
      </c>
      <c r="H92" s="155">
        <f t="shared" si="148"/>
        <v>2545733.14</v>
      </c>
      <c r="I92" s="155">
        <f t="shared" si="148"/>
        <v>2545733.14</v>
      </c>
      <c r="J92" s="155">
        <f t="shared" si="148"/>
        <v>2545733.14</v>
      </c>
      <c r="K92" s="155">
        <f t="shared" si="145"/>
        <v>2545733.14</v>
      </c>
      <c r="L92" s="155">
        <f t="shared" si="145"/>
        <v>2545733.14</v>
      </c>
      <c r="M92" s="155">
        <f t="shared" si="145"/>
        <v>2545733.14</v>
      </c>
      <c r="N92" s="184">
        <f t="shared" si="179"/>
        <v>2545733.14</v>
      </c>
      <c r="O92" s="155">
        <f t="shared" si="180"/>
        <v>2545733.14</v>
      </c>
      <c r="P92" s="155">
        <f t="shared" ref="P92:Z92" si="186">+O92+SUMIF($B$282:$B$328,$A92,P$282:P$328)</f>
        <v>2545733.14</v>
      </c>
      <c r="Q92" s="155">
        <f t="shared" si="186"/>
        <v>2545733.14</v>
      </c>
      <c r="R92" s="155">
        <f t="shared" si="186"/>
        <v>2545733.14</v>
      </c>
      <c r="S92" s="155">
        <f t="shared" si="186"/>
        <v>2545733.14</v>
      </c>
      <c r="T92" s="155">
        <f t="shared" si="186"/>
        <v>2545733.14</v>
      </c>
      <c r="U92" s="155">
        <f t="shared" si="186"/>
        <v>2545733.14</v>
      </c>
      <c r="V92" s="155">
        <f t="shared" si="186"/>
        <v>2545733.14</v>
      </c>
      <c r="W92" s="155">
        <f t="shared" si="186"/>
        <v>2545733.14</v>
      </c>
      <c r="X92" s="155">
        <f t="shared" si="186"/>
        <v>2545733.14</v>
      </c>
      <c r="Y92" s="155">
        <f t="shared" si="186"/>
        <v>2545733.14</v>
      </c>
      <c r="Z92" s="155">
        <f t="shared" si="186"/>
        <v>2545733.14</v>
      </c>
      <c r="AA92" s="184">
        <f t="shared" si="36"/>
        <v>2545733.14</v>
      </c>
      <c r="AB92" s="155">
        <f t="shared" ref="AB92:AM92" si="187">+AA92+SUMIF($B$282:$B$328,$A92,AB$282:AB$328)</f>
        <v>2545733.14</v>
      </c>
      <c r="AC92" s="155">
        <f t="shared" si="187"/>
        <v>2545733.14</v>
      </c>
      <c r="AD92" s="155">
        <f t="shared" si="187"/>
        <v>2545733.14</v>
      </c>
      <c r="AE92" s="155">
        <f t="shared" si="187"/>
        <v>2545733.14</v>
      </c>
      <c r="AF92" s="155">
        <f t="shared" si="187"/>
        <v>2545733.14</v>
      </c>
      <c r="AG92" s="155">
        <f t="shared" si="187"/>
        <v>2545733.14</v>
      </c>
      <c r="AH92" s="155">
        <f t="shared" si="187"/>
        <v>2545733.14</v>
      </c>
      <c r="AI92" s="155">
        <f t="shared" si="187"/>
        <v>2545733.14</v>
      </c>
      <c r="AJ92" s="155">
        <f t="shared" si="187"/>
        <v>2545733.14</v>
      </c>
      <c r="AK92" s="155">
        <f t="shared" si="187"/>
        <v>2545733.14</v>
      </c>
      <c r="AL92" s="155">
        <f t="shared" si="187"/>
        <v>2545733.14</v>
      </c>
      <c r="AM92" s="155">
        <f t="shared" si="187"/>
        <v>2545733.14</v>
      </c>
      <c r="AN92" s="184">
        <f t="shared" si="38"/>
        <v>2545733.14</v>
      </c>
      <c r="AO92" s="155"/>
      <c r="AQ92" s="155">
        <f t="shared" si="183"/>
        <v>2545733.14</v>
      </c>
      <c r="AR92" s="155">
        <f t="shared" si="85"/>
        <v>0</v>
      </c>
      <c r="AS92" s="155">
        <f t="shared" si="138"/>
        <v>0</v>
      </c>
      <c r="AT92" s="155">
        <f t="shared" si="138"/>
        <v>0</v>
      </c>
      <c r="AU92" s="155">
        <f t="shared" si="138"/>
        <v>0</v>
      </c>
      <c r="AV92" s="155">
        <f t="shared" si="138"/>
        <v>0</v>
      </c>
      <c r="AW92" s="155">
        <f t="shared" si="138"/>
        <v>0</v>
      </c>
      <c r="AX92" s="155">
        <f t="shared" si="138"/>
        <v>0</v>
      </c>
      <c r="AY92" s="155">
        <f t="shared" si="138"/>
        <v>0</v>
      </c>
      <c r="AZ92" s="155">
        <f t="shared" si="138"/>
        <v>0</v>
      </c>
      <c r="BA92" s="155">
        <f t="shared" si="138"/>
        <v>0</v>
      </c>
      <c r="BB92" s="155">
        <f t="shared" si="138"/>
        <v>0</v>
      </c>
      <c r="BC92" s="155">
        <f t="shared" si="138"/>
        <v>0</v>
      </c>
      <c r="BD92" s="155">
        <f t="shared" si="184"/>
        <v>2545733.14</v>
      </c>
      <c r="BE92" s="155">
        <f t="shared" si="185"/>
        <v>2545733.14</v>
      </c>
    </row>
    <row r="93" spans="1:57" x14ac:dyDescent="0.15">
      <c r="A93" s="39" t="s">
        <v>82</v>
      </c>
      <c r="G93" s="155">
        <v>-198744.95999999999</v>
      </c>
      <c r="H93" s="155">
        <f t="shared" si="148"/>
        <v>-198744.95999999999</v>
      </c>
      <c r="I93" s="155">
        <f t="shared" si="148"/>
        <v>-198744.95999999999</v>
      </c>
      <c r="J93" s="155">
        <f t="shared" si="148"/>
        <v>-198744.95999999999</v>
      </c>
      <c r="K93" s="155">
        <f t="shared" si="145"/>
        <v>-198744.95999999999</v>
      </c>
      <c r="L93" s="155">
        <f t="shared" si="145"/>
        <v>-198744.95999999999</v>
      </c>
      <c r="M93" s="155">
        <f t="shared" si="145"/>
        <v>-198744.95999999999</v>
      </c>
      <c r="N93" s="184">
        <f t="shared" si="179"/>
        <v>-198744.95999999999</v>
      </c>
      <c r="O93" s="155">
        <f t="shared" si="180"/>
        <v>-198744.95999999999</v>
      </c>
      <c r="P93" s="155">
        <f t="shared" ref="P93:Z93" si="188">+O93+SUMIF($B$282:$B$328,$A93,P$282:P$328)</f>
        <v>-198744.95999999999</v>
      </c>
      <c r="Q93" s="155">
        <f t="shared" si="188"/>
        <v>-198744.95999999999</v>
      </c>
      <c r="R93" s="155">
        <f t="shared" si="188"/>
        <v>-198744.95999999999</v>
      </c>
      <c r="S93" s="155">
        <f t="shared" si="188"/>
        <v>-198744.95999999999</v>
      </c>
      <c r="T93" s="155">
        <f t="shared" si="188"/>
        <v>-198744.95999999999</v>
      </c>
      <c r="U93" s="155">
        <f t="shared" si="188"/>
        <v>-198744.95999999999</v>
      </c>
      <c r="V93" s="155">
        <f t="shared" si="188"/>
        <v>-198744.95999999999</v>
      </c>
      <c r="W93" s="155">
        <f t="shared" si="188"/>
        <v>-198744.95999999999</v>
      </c>
      <c r="X93" s="155">
        <f t="shared" si="188"/>
        <v>-198744.95999999999</v>
      </c>
      <c r="Y93" s="155">
        <f t="shared" si="188"/>
        <v>-198744.95999999999</v>
      </c>
      <c r="Z93" s="155">
        <f t="shared" si="188"/>
        <v>-198744.95999999999</v>
      </c>
      <c r="AA93" s="184">
        <f t="shared" si="36"/>
        <v>-198744.95999999999</v>
      </c>
      <c r="AB93" s="155">
        <f t="shared" ref="AB93:AM93" si="189">+AA93+SUMIF($B$282:$B$328,$A93,AB$282:AB$328)</f>
        <v>-198744.95999999999</v>
      </c>
      <c r="AC93" s="155">
        <f t="shared" si="189"/>
        <v>-198744.95999999999</v>
      </c>
      <c r="AD93" s="155">
        <f t="shared" si="189"/>
        <v>-198744.95999999999</v>
      </c>
      <c r="AE93" s="155">
        <f t="shared" si="189"/>
        <v>-198744.95999999999</v>
      </c>
      <c r="AF93" s="155">
        <f t="shared" si="189"/>
        <v>-198744.95999999999</v>
      </c>
      <c r="AG93" s="155">
        <f t="shared" si="189"/>
        <v>-198744.95999999999</v>
      </c>
      <c r="AH93" s="155">
        <f t="shared" si="189"/>
        <v>-198744.95999999999</v>
      </c>
      <c r="AI93" s="155">
        <f t="shared" si="189"/>
        <v>-198744.95999999999</v>
      </c>
      <c r="AJ93" s="155">
        <f t="shared" si="189"/>
        <v>-198744.95999999999</v>
      </c>
      <c r="AK93" s="155">
        <f t="shared" si="189"/>
        <v>-198744.95999999999</v>
      </c>
      <c r="AL93" s="155">
        <f t="shared" si="189"/>
        <v>-198744.95999999999</v>
      </c>
      <c r="AM93" s="155">
        <f t="shared" si="189"/>
        <v>-198744.95999999999</v>
      </c>
      <c r="AN93" s="184">
        <f t="shared" si="38"/>
        <v>-198744.95999999999</v>
      </c>
      <c r="AO93" s="155"/>
      <c r="AQ93" s="155">
        <f t="shared" si="183"/>
        <v>-198744.95999999999</v>
      </c>
      <c r="AR93" s="155">
        <f t="shared" si="85"/>
        <v>0</v>
      </c>
      <c r="AS93" s="155">
        <f t="shared" si="138"/>
        <v>0</v>
      </c>
      <c r="AT93" s="155">
        <f t="shared" si="138"/>
        <v>0</v>
      </c>
      <c r="AU93" s="155">
        <f t="shared" si="138"/>
        <v>0</v>
      </c>
      <c r="AV93" s="155">
        <f t="shared" si="138"/>
        <v>0</v>
      </c>
      <c r="AW93" s="155">
        <f t="shared" si="138"/>
        <v>0</v>
      </c>
      <c r="AX93" s="155">
        <f t="shared" si="138"/>
        <v>0</v>
      </c>
      <c r="AY93" s="155">
        <f t="shared" si="138"/>
        <v>0</v>
      </c>
      <c r="AZ93" s="155">
        <f t="shared" si="138"/>
        <v>0</v>
      </c>
      <c r="BA93" s="155">
        <f t="shared" si="138"/>
        <v>0</v>
      </c>
      <c r="BB93" s="155">
        <f t="shared" si="138"/>
        <v>0</v>
      </c>
      <c r="BC93" s="155">
        <f t="shared" si="138"/>
        <v>0</v>
      </c>
      <c r="BD93" s="155">
        <f t="shared" si="184"/>
        <v>-198744.95999999999</v>
      </c>
      <c r="BE93" s="155">
        <f t="shared" si="185"/>
        <v>-198744.95999999999</v>
      </c>
    </row>
    <row r="94" spans="1:57" x14ac:dyDescent="0.15">
      <c r="A94" s="39" t="s">
        <v>83</v>
      </c>
      <c r="G94" s="155">
        <v>76525.009999999995</v>
      </c>
      <c r="H94" s="155">
        <f t="shared" si="148"/>
        <v>76525.009999999995</v>
      </c>
      <c r="I94" s="155">
        <f t="shared" si="148"/>
        <v>76525.009999999995</v>
      </c>
      <c r="J94" s="155">
        <f t="shared" si="148"/>
        <v>76525.009999999995</v>
      </c>
      <c r="K94" s="155">
        <f t="shared" si="145"/>
        <v>76525.009999999995</v>
      </c>
      <c r="L94" s="155">
        <f t="shared" si="145"/>
        <v>76525.009999999995</v>
      </c>
      <c r="M94" s="155">
        <f t="shared" si="145"/>
        <v>76525.009999999995</v>
      </c>
      <c r="N94" s="184">
        <f t="shared" si="179"/>
        <v>76525.009999999995</v>
      </c>
      <c r="O94" s="155">
        <f t="shared" si="180"/>
        <v>76525.009999999995</v>
      </c>
      <c r="P94" s="155">
        <f t="shared" ref="P94:Z94" si="190">+O94+SUMIF($B$282:$B$328,$A94,P$282:P$328)</f>
        <v>76525.009999999995</v>
      </c>
      <c r="Q94" s="155">
        <f t="shared" si="190"/>
        <v>76525.009999999995</v>
      </c>
      <c r="R94" s="155">
        <f t="shared" si="190"/>
        <v>76525.009999999995</v>
      </c>
      <c r="S94" s="155">
        <f t="shared" si="190"/>
        <v>76525.009999999995</v>
      </c>
      <c r="T94" s="155">
        <f t="shared" si="190"/>
        <v>76525.009999999995</v>
      </c>
      <c r="U94" s="155">
        <f t="shared" si="190"/>
        <v>76525.009999999995</v>
      </c>
      <c r="V94" s="155">
        <f t="shared" si="190"/>
        <v>76525.009999999995</v>
      </c>
      <c r="W94" s="155">
        <f t="shared" si="190"/>
        <v>76525.009999999995</v>
      </c>
      <c r="X94" s="155">
        <f t="shared" si="190"/>
        <v>76525.009999999995</v>
      </c>
      <c r="Y94" s="155">
        <f t="shared" si="190"/>
        <v>76525.009999999995</v>
      </c>
      <c r="Z94" s="155">
        <f t="shared" si="190"/>
        <v>76525.009999999995</v>
      </c>
      <c r="AA94" s="184">
        <f t="shared" si="36"/>
        <v>76525.009999999995</v>
      </c>
      <c r="AB94" s="155">
        <f t="shared" ref="AB94:AM94" si="191">+AA94+SUMIF($B$282:$B$328,$A94,AB$282:AB$328)</f>
        <v>76525.009999999995</v>
      </c>
      <c r="AC94" s="155">
        <f t="shared" si="191"/>
        <v>76525.009999999995</v>
      </c>
      <c r="AD94" s="155">
        <f t="shared" si="191"/>
        <v>76525.009999999995</v>
      </c>
      <c r="AE94" s="155">
        <f t="shared" si="191"/>
        <v>76525.009999999995</v>
      </c>
      <c r="AF94" s="155">
        <f t="shared" si="191"/>
        <v>76525.009999999995</v>
      </c>
      <c r="AG94" s="155">
        <f t="shared" si="191"/>
        <v>76525.009999999995</v>
      </c>
      <c r="AH94" s="155">
        <f t="shared" si="191"/>
        <v>76525.009999999995</v>
      </c>
      <c r="AI94" s="155">
        <f t="shared" si="191"/>
        <v>76525.009999999995</v>
      </c>
      <c r="AJ94" s="155">
        <f t="shared" si="191"/>
        <v>76525.009999999995</v>
      </c>
      <c r="AK94" s="155">
        <f t="shared" si="191"/>
        <v>76525.009999999995</v>
      </c>
      <c r="AL94" s="155">
        <f t="shared" si="191"/>
        <v>76525.009999999995</v>
      </c>
      <c r="AM94" s="155">
        <f t="shared" si="191"/>
        <v>76525.009999999995</v>
      </c>
      <c r="AN94" s="184">
        <f t="shared" si="38"/>
        <v>76525.009999999995</v>
      </c>
      <c r="AO94" s="155"/>
      <c r="AQ94" s="155">
        <f t="shared" si="183"/>
        <v>76525.009999999995</v>
      </c>
      <c r="AR94" s="155">
        <f t="shared" si="85"/>
        <v>0</v>
      </c>
      <c r="AS94" s="155">
        <f t="shared" si="138"/>
        <v>0</v>
      </c>
      <c r="AT94" s="155">
        <f t="shared" si="138"/>
        <v>0</v>
      </c>
      <c r="AU94" s="155">
        <f t="shared" si="138"/>
        <v>0</v>
      </c>
      <c r="AV94" s="155">
        <f t="shared" si="138"/>
        <v>0</v>
      </c>
      <c r="AW94" s="155">
        <f t="shared" si="138"/>
        <v>0</v>
      </c>
      <c r="AX94" s="155">
        <f t="shared" si="138"/>
        <v>0</v>
      </c>
      <c r="AY94" s="155">
        <f t="shared" ref="AS94:BC99" si="192">($BD94-$AQ94)/12*AY$6</f>
        <v>0</v>
      </c>
      <c r="AZ94" s="155">
        <f t="shared" si="192"/>
        <v>0</v>
      </c>
      <c r="BA94" s="155">
        <f t="shared" si="192"/>
        <v>0</v>
      </c>
      <c r="BB94" s="155">
        <f t="shared" si="192"/>
        <v>0</v>
      </c>
      <c r="BC94" s="155">
        <f t="shared" si="192"/>
        <v>0</v>
      </c>
      <c r="BD94" s="155">
        <f t="shared" si="184"/>
        <v>76525.009999999995</v>
      </c>
      <c r="BE94" s="155">
        <f t="shared" si="185"/>
        <v>76525.009999999995</v>
      </c>
    </row>
    <row r="95" spans="1:57" x14ac:dyDescent="0.15">
      <c r="A95" s="39" t="s">
        <v>84</v>
      </c>
      <c r="G95" s="155">
        <v>872885.38</v>
      </c>
      <c r="H95" s="155">
        <f t="shared" si="148"/>
        <v>872885.38</v>
      </c>
      <c r="I95" s="155">
        <f t="shared" si="148"/>
        <v>872885.38</v>
      </c>
      <c r="J95" s="155">
        <f t="shared" si="148"/>
        <v>872885.38</v>
      </c>
      <c r="K95" s="155">
        <f t="shared" ref="K95:M99" si="193">+J95+SUMIF($B$282:$B$328,$A95,K$282:K$328)</f>
        <v>872885.38</v>
      </c>
      <c r="L95" s="155">
        <f t="shared" si="193"/>
        <v>872885.38</v>
      </c>
      <c r="M95" s="155">
        <f t="shared" si="193"/>
        <v>872885.38</v>
      </c>
      <c r="N95" s="184">
        <f t="shared" si="179"/>
        <v>872885.38</v>
      </c>
      <c r="O95" s="155">
        <f t="shared" si="180"/>
        <v>872885.38</v>
      </c>
      <c r="P95" s="155">
        <f t="shared" ref="P95:Z95" si="194">+O95+SUMIF($B$282:$B$328,$A95,P$282:P$328)</f>
        <v>872885.38</v>
      </c>
      <c r="Q95" s="155">
        <f t="shared" si="194"/>
        <v>872885.38</v>
      </c>
      <c r="R95" s="155">
        <f t="shared" si="194"/>
        <v>872885.38</v>
      </c>
      <c r="S95" s="155">
        <f t="shared" si="194"/>
        <v>872885.38</v>
      </c>
      <c r="T95" s="155">
        <f t="shared" si="194"/>
        <v>872885.38</v>
      </c>
      <c r="U95" s="155">
        <f t="shared" si="194"/>
        <v>872885.38</v>
      </c>
      <c r="V95" s="155">
        <f t="shared" si="194"/>
        <v>872885.38</v>
      </c>
      <c r="W95" s="155">
        <f t="shared" si="194"/>
        <v>872885.38</v>
      </c>
      <c r="X95" s="155">
        <f t="shared" si="194"/>
        <v>872885.38</v>
      </c>
      <c r="Y95" s="155">
        <f t="shared" si="194"/>
        <v>872885.38</v>
      </c>
      <c r="Z95" s="155">
        <f t="shared" si="194"/>
        <v>872885.38</v>
      </c>
      <c r="AA95" s="184">
        <f t="shared" si="36"/>
        <v>872885.38</v>
      </c>
      <c r="AB95" s="155">
        <f t="shared" ref="AB95:AM95" si="195">+AA95+SUMIF($B$282:$B$328,$A95,AB$282:AB$328)</f>
        <v>872885.38</v>
      </c>
      <c r="AC95" s="155">
        <f t="shared" si="195"/>
        <v>872885.38</v>
      </c>
      <c r="AD95" s="155">
        <f t="shared" si="195"/>
        <v>872885.38</v>
      </c>
      <c r="AE95" s="155">
        <f t="shared" si="195"/>
        <v>872885.38</v>
      </c>
      <c r="AF95" s="155">
        <f t="shared" si="195"/>
        <v>872885.38</v>
      </c>
      <c r="AG95" s="155">
        <f t="shared" si="195"/>
        <v>872885.38</v>
      </c>
      <c r="AH95" s="155">
        <f t="shared" si="195"/>
        <v>872885.38</v>
      </c>
      <c r="AI95" s="155">
        <f t="shared" si="195"/>
        <v>872885.38</v>
      </c>
      <c r="AJ95" s="155">
        <f t="shared" si="195"/>
        <v>872885.38</v>
      </c>
      <c r="AK95" s="155">
        <f t="shared" si="195"/>
        <v>872885.38</v>
      </c>
      <c r="AL95" s="155">
        <f t="shared" si="195"/>
        <v>872885.38</v>
      </c>
      <c r="AM95" s="155">
        <f t="shared" si="195"/>
        <v>872885.38</v>
      </c>
      <c r="AN95" s="184">
        <f t="shared" si="38"/>
        <v>872885.38</v>
      </c>
      <c r="AO95" s="155"/>
      <c r="AQ95" s="155">
        <f t="shared" si="183"/>
        <v>872885.38</v>
      </c>
      <c r="AR95" s="155">
        <f t="shared" si="85"/>
        <v>0</v>
      </c>
      <c r="AS95" s="155">
        <f t="shared" si="192"/>
        <v>0</v>
      </c>
      <c r="AT95" s="155">
        <f t="shared" si="192"/>
        <v>0</v>
      </c>
      <c r="AU95" s="155">
        <f t="shared" si="192"/>
        <v>0</v>
      </c>
      <c r="AV95" s="155">
        <f t="shared" si="192"/>
        <v>0</v>
      </c>
      <c r="AW95" s="155">
        <f t="shared" si="192"/>
        <v>0</v>
      </c>
      <c r="AX95" s="155">
        <f t="shared" si="192"/>
        <v>0</v>
      </c>
      <c r="AY95" s="155">
        <f t="shared" si="192"/>
        <v>0</v>
      </c>
      <c r="AZ95" s="155">
        <f t="shared" si="192"/>
        <v>0</v>
      </c>
      <c r="BA95" s="155">
        <f t="shared" si="192"/>
        <v>0</v>
      </c>
      <c r="BB95" s="155">
        <f t="shared" si="192"/>
        <v>0</v>
      </c>
      <c r="BC95" s="155">
        <f t="shared" si="192"/>
        <v>0</v>
      </c>
      <c r="BD95" s="155">
        <f t="shared" si="184"/>
        <v>872885.38</v>
      </c>
      <c r="BE95" s="155">
        <f t="shared" si="185"/>
        <v>872885.38</v>
      </c>
    </row>
    <row r="96" spans="1:57" ht="9" thickBot="1" x14ac:dyDescent="0.2">
      <c r="A96" s="39" t="s">
        <v>85</v>
      </c>
      <c r="G96" s="155">
        <v>632877.51</v>
      </c>
      <c r="H96" s="155">
        <f t="shared" ref="H96:J99" si="196">+G96+SUMIF($B$282:$B$328,$A96,H$282:H$328)</f>
        <v>632877.51</v>
      </c>
      <c r="I96" s="155">
        <f t="shared" si="196"/>
        <v>632877.51</v>
      </c>
      <c r="J96" s="155">
        <f t="shared" si="196"/>
        <v>632877.51</v>
      </c>
      <c r="K96" s="155">
        <f t="shared" si="193"/>
        <v>632877.51</v>
      </c>
      <c r="L96" s="155">
        <f t="shared" si="193"/>
        <v>632877.51</v>
      </c>
      <c r="M96" s="155">
        <f t="shared" si="193"/>
        <v>632877.51</v>
      </c>
      <c r="N96" s="185">
        <f t="shared" si="179"/>
        <v>632877.51</v>
      </c>
      <c r="O96" s="155">
        <f t="shared" si="180"/>
        <v>632877.51</v>
      </c>
      <c r="P96" s="155">
        <f t="shared" ref="P96:Z96" si="197">+O96+SUMIF($B$282:$B$328,$A96,P$282:P$328)</f>
        <v>632877.51</v>
      </c>
      <c r="Q96" s="155">
        <f t="shared" si="197"/>
        <v>632877.51</v>
      </c>
      <c r="R96" s="155">
        <f t="shared" si="197"/>
        <v>632877.51</v>
      </c>
      <c r="S96" s="155">
        <f t="shared" si="197"/>
        <v>632877.51</v>
      </c>
      <c r="T96" s="155">
        <f t="shared" si="197"/>
        <v>632877.51</v>
      </c>
      <c r="U96" s="155">
        <f t="shared" si="197"/>
        <v>632877.51</v>
      </c>
      <c r="V96" s="155">
        <f t="shared" si="197"/>
        <v>632877.51</v>
      </c>
      <c r="W96" s="155">
        <f t="shared" si="197"/>
        <v>632877.51</v>
      </c>
      <c r="X96" s="155">
        <f t="shared" si="197"/>
        <v>632877.51</v>
      </c>
      <c r="Y96" s="155">
        <f t="shared" si="197"/>
        <v>632877.51</v>
      </c>
      <c r="Z96" s="155">
        <f t="shared" si="197"/>
        <v>632877.51</v>
      </c>
      <c r="AA96" s="185">
        <f>+Z96</f>
        <v>632877.51</v>
      </c>
      <c r="AB96" s="155">
        <f t="shared" ref="AB96:AM96" si="198">+AA96+SUMIF($B$282:$B$328,$A96,AB$282:AB$328)</f>
        <v>632877.51</v>
      </c>
      <c r="AC96" s="155">
        <f t="shared" si="198"/>
        <v>632877.51</v>
      </c>
      <c r="AD96" s="155">
        <f t="shared" si="198"/>
        <v>632877.51</v>
      </c>
      <c r="AE96" s="155">
        <f t="shared" si="198"/>
        <v>632877.51</v>
      </c>
      <c r="AF96" s="155">
        <f t="shared" si="198"/>
        <v>632877.51</v>
      </c>
      <c r="AG96" s="155">
        <f t="shared" si="198"/>
        <v>632877.51</v>
      </c>
      <c r="AH96" s="155">
        <f t="shared" si="198"/>
        <v>632877.51</v>
      </c>
      <c r="AI96" s="155">
        <f t="shared" si="198"/>
        <v>632877.51</v>
      </c>
      <c r="AJ96" s="155">
        <f t="shared" si="198"/>
        <v>632877.51</v>
      </c>
      <c r="AK96" s="155">
        <f t="shared" si="198"/>
        <v>632877.51</v>
      </c>
      <c r="AL96" s="155">
        <f t="shared" si="198"/>
        <v>632877.51</v>
      </c>
      <c r="AM96" s="155">
        <f t="shared" si="198"/>
        <v>632877.51</v>
      </c>
      <c r="AN96" s="185">
        <f>+AM96</f>
        <v>632877.51</v>
      </c>
      <c r="AO96" s="155"/>
      <c r="AQ96" s="155">
        <f t="shared" si="183"/>
        <v>632877.51</v>
      </c>
      <c r="AR96" s="155">
        <f t="shared" si="85"/>
        <v>0</v>
      </c>
      <c r="AS96" s="155">
        <f t="shared" si="192"/>
        <v>0</v>
      </c>
      <c r="AT96" s="155">
        <f t="shared" si="192"/>
        <v>0</v>
      </c>
      <c r="AU96" s="155">
        <f t="shared" si="192"/>
        <v>0</v>
      </c>
      <c r="AV96" s="155">
        <f t="shared" si="192"/>
        <v>0</v>
      </c>
      <c r="AW96" s="155">
        <f t="shared" si="192"/>
        <v>0</v>
      </c>
      <c r="AX96" s="155">
        <f t="shared" si="192"/>
        <v>0</v>
      </c>
      <c r="AY96" s="155">
        <f t="shared" si="192"/>
        <v>0</v>
      </c>
      <c r="AZ96" s="155">
        <f t="shared" si="192"/>
        <v>0</v>
      </c>
      <c r="BA96" s="155">
        <f t="shared" si="192"/>
        <v>0</v>
      </c>
      <c r="BB96" s="155">
        <f t="shared" si="192"/>
        <v>0</v>
      </c>
      <c r="BC96" s="155">
        <f t="shared" si="192"/>
        <v>0</v>
      </c>
      <c r="BD96" s="155">
        <f t="shared" si="184"/>
        <v>632877.51</v>
      </c>
      <c r="BE96" s="155">
        <f t="shared" si="185"/>
        <v>632877.51</v>
      </c>
    </row>
    <row r="97" spans="1:57" ht="9" thickBot="1" x14ac:dyDescent="0.2">
      <c r="A97" s="39" t="s">
        <v>1038</v>
      </c>
      <c r="G97" s="155">
        <v>-18796335.990000002</v>
      </c>
      <c r="H97" s="155">
        <f t="shared" si="196"/>
        <v>-18796335.990000002</v>
      </c>
      <c r="I97" s="155">
        <f t="shared" si="196"/>
        <v>-18796335.990000002</v>
      </c>
      <c r="J97" s="155">
        <f t="shared" si="196"/>
        <v>-18796335.990000002</v>
      </c>
      <c r="K97" s="155">
        <f t="shared" si="193"/>
        <v>-18796335.990000002</v>
      </c>
      <c r="L97" s="155">
        <f t="shared" si="193"/>
        <v>-18796335.990000002</v>
      </c>
      <c r="M97" s="155">
        <f t="shared" si="193"/>
        <v>-18796335.990000002</v>
      </c>
      <c r="N97" s="185">
        <f t="shared" si="179"/>
        <v>-18796335.990000002</v>
      </c>
      <c r="O97" s="155">
        <f t="shared" si="180"/>
        <v>-18796335.990000002</v>
      </c>
      <c r="P97" s="155">
        <f t="shared" ref="P97:Z97" si="199">+O97+SUMIF($B$282:$B$328,$A97,P$282:P$328)</f>
        <v>-18796335.990000002</v>
      </c>
      <c r="Q97" s="155">
        <f t="shared" si="199"/>
        <v>-18796335.990000002</v>
      </c>
      <c r="R97" s="155">
        <f t="shared" si="199"/>
        <v>-18796335.990000002</v>
      </c>
      <c r="S97" s="155">
        <f t="shared" si="199"/>
        <v>-18796335.990000002</v>
      </c>
      <c r="T97" s="155">
        <f t="shared" si="199"/>
        <v>-18796335.990000002</v>
      </c>
      <c r="U97" s="155">
        <f t="shared" si="199"/>
        <v>-18796335.990000002</v>
      </c>
      <c r="V97" s="155">
        <f t="shared" si="199"/>
        <v>-18796335.990000002</v>
      </c>
      <c r="W97" s="155">
        <f t="shared" si="199"/>
        <v>-18796335.990000002</v>
      </c>
      <c r="X97" s="155">
        <f t="shared" si="199"/>
        <v>-18796335.990000002</v>
      </c>
      <c r="Y97" s="155">
        <f t="shared" si="199"/>
        <v>-18796335.990000002</v>
      </c>
      <c r="Z97" s="155">
        <f t="shared" si="199"/>
        <v>-18796335.990000002</v>
      </c>
      <c r="AA97" s="185">
        <f>+Z97</f>
        <v>-18796335.990000002</v>
      </c>
      <c r="AB97" s="155">
        <f t="shared" ref="AB97:AM97" si="200">+AA97+SUMIF($B$282:$B$328,$A97,AB$282:AB$328)</f>
        <v>-18796335.990000002</v>
      </c>
      <c r="AC97" s="155">
        <f t="shared" si="200"/>
        <v>-18796335.990000002</v>
      </c>
      <c r="AD97" s="155">
        <f t="shared" si="200"/>
        <v>-18796335.990000002</v>
      </c>
      <c r="AE97" s="155">
        <f t="shared" si="200"/>
        <v>-18796335.990000002</v>
      </c>
      <c r="AF97" s="155">
        <f t="shared" si="200"/>
        <v>-18796335.990000002</v>
      </c>
      <c r="AG97" s="155">
        <f t="shared" si="200"/>
        <v>-18796335.990000002</v>
      </c>
      <c r="AH97" s="155">
        <f t="shared" si="200"/>
        <v>-18796335.990000002</v>
      </c>
      <c r="AI97" s="155">
        <f t="shared" si="200"/>
        <v>-18796335.990000002</v>
      </c>
      <c r="AJ97" s="155">
        <f t="shared" si="200"/>
        <v>-18796335.990000002</v>
      </c>
      <c r="AK97" s="155">
        <f t="shared" si="200"/>
        <v>-18796335.990000002</v>
      </c>
      <c r="AL97" s="155">
        <f t="shared" si="200"/>
        <v>-18796335.990000002</v>
      </c>
      <c r="AM97" s="155">
        <f t="shared" si="200"/>
        <v>-18796335.990000002</v>
      </c>
      <c r="AN97" s="185">
        <f>+AM97</f>
        <v>-18796335.990000002</v>
      </c>
      <c r="AO97" s="155"/>
      <c r="AQ97" s="155">
        <f t="shared" si="183"/>
        <v>-18796335.990000002</v>
      </c>
      <c r="AR97" s="155">
        <f t="shared" si="85"/>
        <v>0</v>
      </c>
      <c r="AS97" s="155">
        <f t="shared" si="192"/>
        <v>0</v>
      </c>
      <c r="AT97" s="155">
        <f t="shared" si="192"/>
        <v>0</v>
      </c>
      <c r="AU97" s="155">
        <f t="shared" si="192"/>
        <v>0</v>
      </c>
      <c r="AV97" s="155">
        <f t="shared" si="192"/>
        <v>0</v>
      </c>
      <c r="AW97" s="155">
        <f t="shared" si="192"/>
        <v>0</v>
      </c>
      <c r="AX97" s="155">
        <f t="shared" si="192"/>
        <v>0</v>
      </c>
      <c r="AY97" s="155">
        <f t="shared" si="192"/>
        <v>0</v>
      </c>
      <c r="AZ97" s="155">
        <f t="shared" si="192"/>
        <v>0</v>
      </c>
      <c r="BA97" s="155">
        <f t="shared" si="192"/>
        <v>0</v>
      </c>
      <c r="BB97" s="155">
        <f t="shared" si="192"/>
        <v>0</v>
      </c>
      <c r="BC97" s="155">
        <f t="shared" si="192"/>
        <v>0</v>
      </c>
      <c r="BD97" s="155">
        <f t="shared" si="184"/>
        <v>-18796335.990000002</v>
      </c>
      <c r="BE97" s="155">
        <f t="shared" si="185"/>
        <v>-18796335.990000002</v>
      </c>
    </row>
    <row r="98" spans="1:57" ht="9" thickBot="1" x14ac:dyDescent="0.2">
      <c r="A98" s="39" t="s">
        <v>1039</v>
      </c>
      <c r="G98" s="155">
        <v>-1145952.75</v>
      </c>
      <c r="H98" s="155">
        <f t="shared" si="196"/>
        <v>-1145952.75</v>
      </c>
      <c r="I98" s="155">
        <f t="shared" si="196"/>
        <v>-1145952.75</v>
      </c>
      <c r="J98" s="155">
        <f t="shared" si="196"/>
        <v>-1145952.75</v>
      </c>
      <c r="K98" s="155">
        <f t="shared" si="193"/>
        <v>-1145952.75</v>
      </c>
      <c r="L98" s="155">
        <f t="shared" si="193"/>
        <v>-1145952.75</v>
      </c>
      <c r="M98" s="155">
        <f t="shared" si="193"/>
        <v>-1145952.75</v>
      </c>
      <c r="N98" s="185">
        <f t="shared" si="179"/>
        <v>-1145952.75</v>
      </c>
      <c r="O98" s="155">
        <f t="shared" si="180"/>
        <v>-1145952.75</v>
      </c>
      <c r="P98" s="155">
        <f t="shared" ref="P98:Z98" si="201">+O98+SUMIF($B$282:$B$328,$A98,P$282:P$328)</f>
        <v>-1145952.75</v>
      </c>
      <c r="Q98" s="155">
        <f t="shared" si="201"/>
        <v>-1145952.75</v>
      </c>
      <c r="R98" s="155">
        <f t="shared" si="201"/>
        <v>-1145952.75</v>
      </c>
      <c r="S98" s="155">
        <f t="shared" si="201"/>
        <v>-1145952.75</v>
      </c>
      <c r="T98" s="155">
        <f t="shared" si="201"/>
        <v>-1145952.75</v>
      </c>
      <c r="U98" s="155">
        <f t="shared" si="201"/>
        <v>-1145952.75</v>
      </c>
      <c r="V98" s="155">
        <f t="shared" si="201"/>
        <v>-1145952.75</v>
      </c>
      <c r="W98" s="155">
        <f t="shared" si="201"/>
        <v>-1145952.75</v>
      </c>
      <c r="X98" s="155">
        <f t="shared" si="201"/>
        <v>-1145952.75</v>
      </c>
      <c r="Y98" s="155">
        <f t="shared" si="201"/>
        <v>-1145952.75</v>
      </c>
      <c r="Z98" s="155">
        <f t="shared" si="201"/>
        <v>-1145952.75</v>
      </c>
      <c r="AA98" s="185">
        <f>+Z98</f>
        <v>-1145952.75</v>
      </c>
      <c r="AB98" s="155">
        <f t="shared" ref="AB98:AM98" si="202">+AA98+SUMIF($B$282:$B$328,$A98,AB$282:AB$328)</f>
        <v>-1145952.75</v>
      </c>
      <c r="AC98" s="155">
        <f t="shared" si="202"/>
        <v>-1145952.75</v>
      </c>
      <c r="AD98" s="155">
        <f t="shared" si="202"/>
        <v>-1145952.75</v>
      </c>
      <c r="AE98" s="155">
        <f t="shared" si="202"/>
        <v>-1145952.75</v>
      </c>
      <c r="AF98" s="155">
        <f t="shared" si="202"/>
        <v>-1145952.75</v>
      </c>
      <c r="AG98" s="155">
        <f t="shared" si="202"/>
        <v>-1145952.75</v>
      </c>
      <c r="AH98" s="155">
        <f t="shared" si="202"/>
        <v>-1145952.75</v>
      </c>
      <c r="AI98" s="155">
        <f t="shared" si="202"/>
        <v>-1145952.75</v>
      </c>
      <c r="AJ98" s="155">
        <f t="shared" si="202"/>
        <v>-1145952.75</v>
      </c>
      <c r="AK98" s="155">
        <f t="shared" si="202"/>
        <v>-1145952.75</v>
      </c>
      <c r="AL98" s="155">
        <f t="shared" si="202"/>
        <v>-1145952.75</v>
      </c>
      <c r="AM98" s="155">
        <f t="shared" si="202"/>
        <v>-1145952.75</v>
      </c>
      <c r="AN98" s="185">
        <f>+AM98</f>
        <v>-1145952.75</v>
      </c>
      <c r="AO98" s="155"/>
      <c r="AQ98" s="155">
        <f t="shared" si="183"/>
        <v>-1145952.75</v>
      </c>
      <c r="AR98" s="155">
        <f t="shared" si="85"/>
        <v>0</v>
      </c>
      <c r="AS98" s="155">
        <f t="shared" si="192"/>
        <v>0</v>
      </c>
      <c r="AT98" s="155">
        <f t="shared" si="192"/>
        <v>0</v>
      </c>
      <c r="AU98" s="155">
        <f t="shared" si="192"/>
        <v>0</v>
      </c>
      <c r="AV98" s="155">
        <f t="shared" si="192"/>
        <v>0</v>
      </c>
      <c r="AW98" s="155">
        <f t="shared" si="192"/>
        <v>0</v>
      </c>
      <c r="AX98" s="155">
        <f t="shared" si="192"/>
        <v>0</v>
      </c>
      <c r="AY98" s="155">
        <f t="shared" si="192"/>
        <v>0</v>
      </c>
      <c r="AZ98" s="155">
        <f t="shared" si="192"/>
        <v>0</v>
      </c>
      <c r="BA98" s="155">
        <f t="shared" si="192"/>
        <v>0</v>
      </c>
      <c r="BB98" s="155">
        <f t="shared" si="192"/>
        <v>0</v>
      </c>
      <c r="BC98" s="155">
        <f t="shared" si="192"/>
        <v>0</v>
      </c>
      <c r="BD98" s="155">
        <f t="shared" si="184"/>
        <v>-1145952.75</v>
      </c>
      <c r="BE98" s="155">
        <f t="shared" si="185"/>
        <v>-1145952.75</v>
      </c>
    </row>
    <row r="99" spans="1:57" ht="9" thickBot="1" x14ac:dyDescent="0.2">
      <c r="A99" s="39" t="s">
        <v>1040</v>
      </c>
      <c r="G99" s="155">
        <v>18190221.550000001</v>
      </c>
      <c r="H99" s="155">
        <f t="shared" si="196"/>
        <v>18190221.550000001</v>
      </c>
      <c r="I99" s="155">
        <f t="shared" si="196"/>
        <v>18190221.550000001</v>
      </c>
      <c r="J99" s="155">
        <f t="shared" si="196"/>
        <v>18190221.550000001</v>
      </c>
      <c r="K99" s="155">
        <f t="shared" si="193"/>
        <v>18190221.550000001</v>
      </c>
      <c r="L99" s="155">
        <f t="shared" si="193"/>
        <v>18190221.550000001</v>
      </c>
      <c r="M99" s="155">
        <f t="shared" si="193"/>
        <v>18190221.550000001</v>
      </c>
      <c r="N99" s="185">
        <f t="shared" si="179"/>
        <v>18190221.550000001</v>
      </c>
      <c r="O99" s="155">
        <f t="shared" si="180"/>
        <v>18190221.550000001</v>
      </c>
      <c r="P99" s="155">
        <f t="shared" ref="P99:Z99" si="203">+O99+SUMIF($B$282:$B$328,$A99,P$282:P$328)</f>
        <v>18190221.550000001</v>
      </c>
      <c r="Q99" s="155">
        <f t="shared" si="203"/>
        <v>18190221.550000001</v>
      </c>
      <c r="R99" s="155">
        <f t="shared" si="203"/>
        <v>18190221.550000001</v>
      </c>
      <c r="S99" s="155">
        <f t="shared" si="203"/>
        <v>18190221.550000001</v>
      </c>
      <c r="T99" s="155">
        <f t="shared" si="203"/>
        <v>18190221.550000001</v>
      </c>
      <c r="U99" s="155">
        <f t="shared" si="203"/>
        <v>18190221.550000001</v>
      </c>
      <c r="V99" s="155">
        <f t="shared" si="203"/>
        <v>18190221.550000001</v>
      </c>
      <c r="W99" s="155">
        <f t="shared" si="203"/>
        <v>18190221.550000001</v>
      </c>
      <c r="X99" s="155">
        <f t="shared" si="203"/>
        <v>18190221.550000001</v>
      </c>
      <c r="Y99" s="155">
        <f t="shared" si="203"/>
        <v>18190221.550000001</v>
      </c>
      <c r="Z99" s="155">
        <f t="shared" si="203"/>
        <v>18190221.550000001</v>
      </c>
      <c r="AA99" s="185">
        <f t="shared" si="36"/>
        <v>18190221.550000001</v>
      </c>
      <c r="AB99" s="155">
        <f t="shared" ref="AB99:AM99" si="204">+AA99+SUMIF($B$282:$B$328,$A99,AB$282:AB$328)</f>
        <v>18190221.550000001</v>
      </c>
      <c r="AC99" s="155">
        <f t="shared" si="204"/>
        <v>18190221.550000001</v>
      </c>
      <c r="AD99" s="155">
        <f t="shared" si="204"/>
        <v>18190221.550000001</v>
      </c>
      <c r="AE99" s="155">
        <f t="shared" si="204"/>
        <v>18190221.550000001</v>
      </c>
      <c r="AF99" s="155">
        <f t="shared" si="204"/>
        <v>18190221.550000001</v>
      </c>
      <c r="AG99" s="155">
        <f t="shared" si="204"/>
        <v>18190221.550000001</v>
      </c>
      <c r="AH99" s="155">
        <f t="shared" si="204"/>
        <v>18190221.550000001</v>
      </c>
      <c r="AI99" s="155">
        <f t="shared" si="204"/>
        <v>18190221.550000001</v>
      </c>
      <c r="AJ99" s="155">
        <f t="shared" si="204"/>
        <v>18190221.550000001</v>
      </c>
      <c r="AK99" s="155">
        <f t="shared" si="204"/>
        <v>18190221.550000001</v>
      </c>
      <c r="AL99" s="155">
        <f t="shared" si="204"/>
        <v>18190221.550000001</v>
      </c>
      <c r="AM99" s="155">
        <f t="shared" si="204"/>
        <v>18190221.550000001</v>
      </c>
      <c r="AN99" s="185">
        <f t="shared" si="38"/>
        <v>18190221.550000001</v>
      </c>
      <c r="AO99" s="155"/>
      <c r="AQ99" s="155">
        <f t="shared" si="183"/>
        <v>18190221.550000001</v>
      </c>
      <c r="AR99" s="155">
        <f t="shared" si="85"/>
        <v>0</v>
      </c>
      <c r="AS99" s="155">
        <f t="shared" si="192"/>
        <v>0</v>
      </c>
      <c r="AT99" s="155">
        <f t="shared" si="192"/>
        <v>0</v>
      </c>
      <c r="AU99" s="155">
        <f t="shared" si="192"/>
        <v>0</v>
      </c>
      <c r="AV99" s="155">
        <f t="shared" si="192"/>
        <v>0</v>
      </c>
      <c r="AW99" s="155">
        <f t="shared" si="192"/>
        <v>0</v>
      </c>
      <c r="AX99" s="155">
        <f t="shared" si="192"/>
        <v>0</v>
      </c>
      <c r="AY99" s="155">
        <f t="shared" si="192"/>
        <v>0</v>
      </c>
      <c r="AZ99" s="155">
        <f t="shared" si="192"/>
        <v>0</v>
      </c>
      <c r="BA99" s="155">
        <f t="shared" si="192"/>
        <v>0</v>
      </c>
      <c r="BB99" s="155">
        <f t="shared" si="192"/>
        <v>0</v>
      </c>
      <c r="BC99" s="155">
        <f t="shared" si="192"/>
        <v>0</v>
      </c>
      <c r="BD99" s="155">
        <f t="shared" si="184"/>
        <v>18190221.550000001</v>
      </c>
      <c r="BE99" s="155">
        <f t="shared" si="185"/>
        <v>18190221.550000001</v>
      </c>
    </row>
    <row r="100" spans="1:57" ht="9" thickBot="1" x14ac:dyDescent="0.2">
      <c r="G100" s="186">
        <f t="shared" ref="G100:AL100" si="205">SUM(G27:G99)</f>
        <v>-918791722.2299999</v>
      </c>
      <c r="H100" s="186">
        <f t="shared" si="205"/>
        <v>-918802907.8291347</v>
      </c>
      <c r="I100" s="186">
        <f t="shared" si="205"/>
        <v>-918814093.42826951</v>
      </c>
      <c r="J100" s="186">
        <f t="shared" si="205"/>
        <v>-941352801.47571719</v>
      </c>
      <c r="K100" s="186">
        <f t="shared" si="205"/>
        <v>-941363987.07485211</v>
      </c>
      <c r="L100" s="186">
        <f t="shared" si="205"/>
        <v>-941375172.67398691</v>
      </c>
      <c r="M100" s="186">
        <f t="shared" si="205"/>
        <v>-954474887.82356501</v>
      </c>
      <c r="N100" s="186">
        <f t="shared" si="205"/>
        <v>-954474887.82356501</v>
      </c>
      <c r="O100" s="186">
        <f t="shared" si="205"/>
        <v>-954486073.42269981</v>
      </c>
      <c r="P100" s="186">
        <f t="shared" si="205"/>
        <v>-954497259.02183461</v>
      </c>
      <c r="Q100" s="186">
        <f t="shared" si="205"/>
        <v>-964711081.35184085</v>
      </c>
      <c r="R100" s="186">
        <f t="shared" si="205"/>
        <v>-964044343.45679533</v>
      </c>
      <c r="S100" s="186">
        <f t="shared" si="205"/>
        <v>-964055529.05593014</v>
      </c>
      <c r="T100" s="186">
        <f t="shared" si="205"/>
        <v>-976723572.92093694</v>
      </c>
      <c r="U100" s="186">
        <f t="shared" si="205"/>
        <v>-976734758.52007174</v>
      </c>
      <c r="V100" s="186">
        <f t="shared" si="205"/>
        <v>-976745944.11920667</v>
      </c>
      <c r="W100" s="186">
        <f t="shared" si="205"/>
        <v>-987651736.18944824</v>
      </c>
      <c r="X100" s="186">
        <f t="shared" si="205"/>
        <v>-987662921.78858304</v>
      </c>
      <c r="Y100" s="186">
        <f t="shared" si="205"/>
        <v>-987674107.38771784</v>
      </c>
      <c r="Z100" s="186">
        <f t="shared" si="205"/>
        <v>-999170366.52674663</v>
      </c>
      <c r="AA100" s="186">
        <f t="shared" si="205"/>
        <v>-999170366.52674663</v>
      </c>
      <c r="AB100" s="186">
        <f t="shared" si="205"/>
        <v>-999181552.12588143</v>
      </c>
      <c r="AC100" s="186">
        <f t="shared" si="205"/>
        <v>-999192737.72501636</v>
      </c>
      <c r="AD100" s="186">
        <f t="shared" si="205"/>
        <v>-999699402.24500537</v>
      </c>
      <c r="AE100" s="186">
        <f t="shared" si="205"/>
        <v>-999295239.5973438</v>
      </c>
      <c r="AF100" s="186">
        <f t="shared" si="205"/>
        <v>-998994855.06937766</v>
      </c>
      <c r="AG100" s="186">
        <f t="shared" si="205"/>
        <v>-1002485984.0235286</v>
      </c>
      <c r="AH100" s="186">
        <f t="shared" si="205"/>
        <v>-1002497169.6226635</v>
      </c>
      <c r="AI100" s="186">
        <f t="shared" si="205"/>
        <v>-1002508355.2217983</v>
      </c>
      <c r="AJ100" s="186">
        <f t="shared" si="205"/>
        <v>-1003835464.9289976</v>
      </c>
      <c r="AK100" s="186">
        <f t="shared" si="205"/>
        <v>-1003846650.5281324</v>
      </c>
      <c r="AL100" s="186">
        <f t="shared" si="205"/>
        <v>-1003857836.1272672</v>
      </c>
      <c r="AM100" s="186">
        <f t="shared" ref="AM100:AN100" si="206">SUM(AM27:AM99)</f>
        <v>-1006328734.6925991</v>
      </c>
      <c r="AN100" s="186">
        <f t="shared" si="206"/>
        <v>-1006328734.6925991</v>
      </c>
      <c r="AO100" s="187"/>
      <c r="AQ100" s="186">
        <f t="shared" ref="AQ100:BE100" si="207">SUM(AQ27:AQ99)</f>
        <v>-964044343.45679533</v>
      </c>
      <c r="AR100" s="186">
        <f t="shared" si="207"/>
        <v>-2696130.1842656839</v>
      </c>
      <c r="AS100" s="186">
        <f t="shared" si="207"/>
        <v>-2446637.5403485619</v>
      </c>
      <c r="AT100" s="186">
        <f t="shared" si="207"/>
        <v>-2205193.0462352172</v>
      </c>
      <c r="AU100" s="186">
        <f t="shared" si="207"/>
        <v>-1955700.4023180939</v>
      </c>
      <c r="AV100" s="186">
        <f t="shared" si="207"/>
        <v>-1714255.9082047488</v>
      </c>
      <c r="AW100" s="186">
        <f t="shared" si="207"/>
        <v>-1464763.2642876261</v>
      </c>
      <c r="AX100" s="186">
        <f t="shared" si="207"/>
        <v>-1215270.620370503</v>
      </c>
      <c r="AY100" s="186">
        <f t="shared" si="207"/>
        <v>-989922.42586471455</v>
      </c>
      <c r="AZ100" s="186">
        <f t="shared" si="207"/>
        <v>-740429.78194759099</v>
      </c>
      <c r="BA100" s="186">
        <f t="shared" si="207"/>
        <v>-498985.28783424618</v>
      </c>
      <c r="BB100" s="186">
        <f t="shared" si="207"/>
        <v>-249492.64391712309</v>
      </c>
      <c r="BC100" s="186">
        <f t="shared" si="207"/>
        <v>-8048.149803778163</v>
      </c>
      <c r="BD100" s="186"/>
      <c r="BE100" s="186">
        <f t="shared" si="207"/>
        <v>-980229172.71219313</v>
      </c>
    </row>
    <row r="101" spans="1:57" x14ac:dyDescent="0.15">
      <c r="G101" s="155"/>
      <c r="H101" s="155"/>
    </row>
    <row r="102" spans="1:57" x14ac:dyDescent="0.15">
      <c r="G102" s="155"/>
      <c r="H102" s="155"/>
    </row>
    <row r="103" spans="1:57" ht="9" thickBot="1" x14ac:dyDescent="0.2">
      <c r="A103" s="182" t="s">
        <v>91</v>
      </c>
      <c r="G103" s="155"/>
      <c r="H103" s="155"/>
    </row>
    <row r="104" spans="1:57" x14ac:dyDescent="0.15">
      <c r="A104" s="39" t="s">
        <v>38</v>
      </c>
      <c r="G104" s="155">
        <v>-10808.36</v>
      </c>
      <c r="H104" s="155">
        <f t="shared" ref="H104:M113" si="208">+G104+SUMIF($B$332:$B$370,$A104,H$332:H$370)</f>
        <v>-10808.36</v>
      </c>
      <c r="I104" s="155">
        <f t="shared" si="208"/>
        <v>-10808.36</v>
      </c>
      <c r="J104" s="155">
        <f t="shared" si="208"/>
        <v>-9511.3568701055283</v>
      </c>
      <c r="K104" s="155">
        <f t="shared" si="208"/>
        <v>-9511.3568701055283</v>
      </c>
      <c r="L104" s="155">
        <f t="shared" si="208"/>
        <v>-9511.3568701055283</v>
      </c>
      <c r="M104" s="155">
        <f t="shared" si="208"/>
        <v>-8214.353740211056</v>
      </c>
      <c r="N104" s="183">
        <f t="shared" ref="N104:N135" si="209">+M104</f>
        <v>-8214.353740211056</v>
      </c>
      <c r="O104" s="155">
        <f t="shared" ref="O104:O135" si="210">+N104+SUMIF($B$332:$B$370,$A104,O$332:O$370)</f>
        <v>-8214.353740211056</v>
      </c>
      <c r="P104" s="155">
        <f t="shared" ref="P104:Z104" si="211">+O104+SUMIF($B$332:$B$370,$A104,P$332:P$370)</f>
        <v>-8214.353740211056</v>
      </c>
      <c r="Q104" s="155">
        <f t="shared" si="211"/>
        <v>-7283.1719456965375</v>
      </c>
      <c r="R104" s="155">
        <f t="shared" si="211"/>
        <v>-7283.1719456965375</v>
      </c>
      <c r="S104" s="155">
        <f t="shared" si="211"/>
        <v>-7283.1719456965375</v>
      </c>
      <c r="T104" s="155">
        <f t="shared" si="211"/>
        <v>-6351.990151182019</v>
      </c>
      <c r="U104" s="155">
        <f t="shared" si="211"/>
        <v>-6351.990151182019</v>
      </c>
      <c r="V104" s="155">
        <f t="shared" si="211"/>
        <v>-6351.990151182019</v>
      </c>
      <c r="W104" s="155">
        <f t="shared" si="211"/>
        <v>-5420.8083566675004</v>
      </c>
      <c r="X104" s="155">
        <f t="shared" si="211"/>
        <v>-5420.8083566675004</v>
      </c>
      <c r="Y104" s="155">
        <f t="shared" si="211"/>
        <v>-5420.8083566675004</v>
      </c>
      <c r="Z104" s="155">
        <f t="shared" si="211"/>
        <v>-4489.6265621529819</v>
      </c>
      <c r="AA104" s="183">
        <f>+Z104</f>
        <v>-4489.6265621529819</v>
      </c>
      <c r="AB104" s="155">
        <f t="shared" ref="AB104:AM104" si="212">+AA104+SUMIF($B$332:$B$370,$A104,AB$332:AB$370)</f>
        <v>-4489.6265621529819</v>
      </c>
      <c r="AC104" s="155">
        <f t="shared" si="212"/>
        <v>-4489.6265621529819</v>
      </c>
      <c r="AD104" s="155">
        <f t="shared" si="212"/>
        <v>-3741.3554341424642</v>
      </c>
      <c r="AE104" s="155">
        <f t="shared" si="212"/>
        <v>-3741.3554341424642</v>
      </c>
      <c r="AF104" s="155">
        <f t="shared" si="212"/>
        <v>-3741.3554341424642</v>
      </c>
      <c r="AG104" s="155">
        <f t="shared" si="212"/>
        <v>-2993.0843061319465</v>
      </c>
      <c r="AH104" s="155">
        <f t="shared" si="212"/>
        <v>-2993.0843061319465</v>
      </c>
      <c r="AI104" s="155">
        <f t="shared" si="212"/>
        <v>-2993.0843061319465</v>
      </c>
      <c r="AJ104" s="155">
        <f t="shared" si="212"/>
        <v>-2244.8131781214288</v>
      </c>
      <c r="AK104" s="155">
        <f t="shared" si="212"/>
        <v>-2244.8131781214288</v>
      </c>
      <c r="AL104" s="155">
        <f t="shared" si="212"/>
        <v>-2244.8131781214288</v>
      </c>
      <c r="AM104" s="155">
        <f t="shared" si="212"/>
        <v>-1496.5420501109108</v>
      </c>
      <c r="AN104" s="183">
        <f>+AM104</f>
        <v>-1496.5420501109108</v>
      </c>
      <c r="AO104" s="155"/>
      <c r="AQ104" s="155">
        <f t="shared" ref="AQ104:AQ135" si="213">+R104</f>
        <v>-7283.1719456965375</v>
      </c>
      <c r="AR104" s="155">
        <f t="shared" ref="AR104:BC125" si="214">($BD104-$AQ104)/12*AR$6</f>
        <v>270.89235876041425</v>
      </c>
      <c r="AS104" s="155">
        <f t="shared" si="214"/>
        <v>245.82470765124162</v>
      </c>
      <c r="AT104" s="155">
        <f t="shared" si="214"/>
        <v>221.56569044881647</v>
      </c>
      <c r="AU104" s="155">
        <f t="shared" si="214"/>
        <v>196.49803933964381</v>
      </c>
      <c r="AV104" s="155">
        <f t="shared" si="214"/>
        <v>172.23902213721865</v>
      </c>
      <c r="AW104" s="155">
        <f t="shared" si="214"/>
        <v>147.17137102804597</v>
      </c>
      <c r="AX104" s="155">
        <f t="shared" si="214"/>
        <v>122.10371991887331</v>
      </c>
      <c r="AY104" s="155">
        <f t="shared" si="214"/>
        <v>99.461970529943159</v>
      </c>
      <c r="AZ104" s="155">
        <f t="shared" si="214"/>
        <v>74.394319420770501</v>
      </c>
      <c r="BA104" s="155">
        <f t="shared" si="214"/>
        <v>50.135302218345331</v>
      </c>
      <c r="BB104" s="155">
        <f t="shared" si="214"/>
        <v>25.067651109172665</v>
      </c>
      <c r="BC104" s="155">
        <f t="shared" si="214"/>
        <v>0.80863390674750535</v>
      </c>
      <c r="BD104" s="155">
        <f t="shared" ref="BD104:BD135" si="215">+AE104</f>
        <v>-3741.3554341424642</v>
      </c>
      <c r="BE104" s="155">
        <f t="shared" ref="BE104:BE152" si="216">SUM(AQ104:BC104)</f>
        <v>-5657.0091592273047</v>
      </c>
    </row>
    <row r="105" spans="1:57" x14ac:dyDescent="0.15">
      <c r="A105" s="39" t="s">
        <v>40</v>
      </c>
      <c r="F105" s="188"/>
      <c r="G105" s="155">
        <v>3971.04</v>
      </c>
      <c r="H105" s="155">
        <f t="shared" si="208"/>
        <v>3971.04</v>
      </c>
      <c r="I105" s="155">
        <f t="shared" si="208"/>
        <v>3971.04</v>
      </c>
      <c r="J105" s="155">
        <f t="shared" si="208"/>
        <v>3971.04</v>
      </c>
      <c r="K105" s="155">
        <f t="shared" si="208"/>
        <v>3971.04</v>
      </c>
      <c r="L105" s="155">
        <f t="shared" si="208"/>
        <v>3971.04</v>
      </c>
      <c r="M105" s="155">
        <f t="shared" si="208"/>
        <v>3971.04</v>
      </c>
      <c r="N105" s="184">
        <f t="shared" si="209"/>
        <v>3971.04</v>
      </c>
      <c r="O105" s="155">
        <f t="shared" si="210"/>
        <v>3971.04</v>
      </c>
      <c r="P105" s="155">
        <f t="shared" ref="P105:Z105" si="217">+O105+SUMIF($B$332:$B$370,$A105,P$332:P$370)</f>
        <v>3971.04</v>
      </c>
      <c r="Q105" s="155">
        <f t="shared" si="217"/>
        <v>3971.04</v>
      </c>
      <c r="R105" s="155">
        <f t="shared" si="217"/>
        <v>3971.04</v>
      </c>
      <c r="S105" s="155">
        <f t="shared" si="217"/>
        <v>3971.04</v>
      </c>
      <c r="T105" s="155">
        <f t="shared" si="217"/>
        <v>3971.04</v>
      </c>
      <c r="U105" s="155">
        <f t="shared" si="217"/>
        <v>3971.04</v>
      </c>
      <c r="V105" s="155">
        <f t="shared" si="217"/>
        <v>3971.04</v>
      </c>
      <c r="W105" s="155">
        <f t="shared" si="217"/>
        <v>3971.04</v>
      </c>
      <c r="X105" s="155">
        <f t="shared" si="217"/>
        <v>3971.04</v>
      </c>
      <c r="Y105" s="155">
        <f t="shared" si="217"/>
        <v>3971.04</v>
      </c>
      <c r="Z105" s="155">
        <f t="shared" si="217"/>
        <v>3971.04</v>
      </c>
      <c r="AA105" s="184">
        <f t="shared" ref="AA105:AA152" si="218">+Z105</f>
        <v>3971.04</v>
      </c>
      <c r="AB105" s="155">
        <f t="shared" ref="AB105:AM105" si="219">+AA105+SUMIF($B$332:$B$370,$A105,AB$332:AB$370)</f>
        <v>3971.04</v>
      </c>
      <c r="AC105" s="155">
        <f t="shared" si="219"/>
        <v>3971.04</v>
      </c>
      <c r="AD105" s="155">
        <f t="shared" si="219"/>
        <v>3971.04</v>
      </c>
      <c r="AE105" s="155">
        <f t="shared" si="219"/>
        <v>3971.04</v>
      </c>
      <c r="AF105" s="155">
        <f t="shared" si="219"/>
        <v>3971.04</v>
      </c>
      <c r="AG105" s="155">
        <f t="shared" si="219"/>
        <v>3971.04</v>
      </c>
      <c r="AH105" s="155">
        <f t="shared" si="219"/>
        <v>3971.04</v>
      </c>
      <c r="AI105" s="155">
        <f t="shared" si="219"/>
        <v>3971.04</v>
      </c>
      <c r="AJ105" s="155">
        <f t="shared" si="219"/>
        <v>3971.04</v>
      </c>
      <c r="AK105" s="155">
        <f t="shared" si="219"/>
        <v>3971.04</v>
      </c>
      <c r="AL105" s="155">
        <f t="shared" si="219"/>
        <v>3971.04</v>
      </c>
      <c r="AM105" s="155">
        <f t="shared" si="219"/>
        <v>3971.04</v>
      </c>
      <c r="AN105" s="184">
        <f t="shared" ref="AN105:AN152" si="220">+AM105</f>
        <v>3971.04</v>
      </c>
      <c r="AO105" s="155"/>
      <c r="AQ105" s="155">
        <f t="shared" si="213"/>
        <v>3971.04</v>
      </c>
      <c r="AR105" s="155">
        <f t="shared" si="214"/>
        <v>0</v>
      </c>
      <c r="AS105" s="155">
        <f t="shared" si="214"/>
        <v>0</v>
      </c>
      <c r="AT105" s="155">
        <f t="shared" si="214"/>
        <v>0</v>
      </c>
      <c r="AU105" s="155">
        <f t="shared" si="214"/>
        <v>0</v>
      </c>
      <c r="AV105" s="155">
        <f t="shared" si="214"/>
        <v>0</v>
      </c>
      <c r="AW105" s="155">
        <f t="shared" si="214"/>
        <v>0</v>
      </c>
      <c r="AX105" s="155">
        <f t="shared" si="214"/>
        <v>0</v>
      </c>
      <c r="AY105" s="155">
        <f t="shared" si="214"/>
        <v>0</v>
      </c>
      <c r="AZ105" s="155">
        <f t="shared" si="214"/>
        <v>0</v>
      </c>
      <c r="BA105" s="155">
        <f t="shared" si="214"/>
        <v>0</v>
      </c>
      <c r="BB105" s="155">
        <f t="shared" si="214"/>
        <v>0</v>
      </c>
      <c r="BC105" s="155">
        <f t="shared" si="214"/>
        <v>0</v>
      </c>
      <c r="BD105" s="155">
        <f t="shared" si="215"/>
        <v>3971.04</v>
      </c>
      <c r="BE105" s="155">
        <f t="shared" si="216"/>
        <v>3971.04</v>
      </c>
    </row>
    <row r="106" spans="1:57" x14ac:dyDescent="0.15">
      <c r="A106" s="39" t="s">
        <v>41</v>
      </c>
      <c r="G106" s="155">
        <v>-220099.97</v>
      </c>
      <c r="H106" s="155">
        <f t="shared" si="208"/>
        <v>-220099.97</v>
      </c>
      <c r="I106" s="155">
        <f t="shared" si="208"/>
        <v>-220099.97</v>
      </c>
      <c r="J106" s="155">
        <f t="shared" si="208"/>
        <v>-208761.13758255696</v>
      </c>
      <c r="K106" s="155">
        <f t="shared" si="208"/>
        <v>-208761.13758255696</v>
      </c>
      <c r="L106" s="155">
        <f t="shared" si="208"/>
        <v>-208761.13758255696</v>
      </c>
      <c r="M106" s="155">
        <f t="shared" si="208"/>
        <v>-197422.30516511391</v>
      </c>
      <c r="N106" s="184">
        <f t="shared" si="209"/>
        <v>-197422.30516511391</v>
      </c>
      <c r="O106" s="155">
        <f t="shared" si="210"/>
        <v>-197422.30516511391</v>
      </c>
      <c r="P106" s="155">
        <f t="shared" ref="P106:Z107" si="221">+O106+SUMIF($B$332:$B$370,$A106,P$332:P$370)</f>
        <v>-197422.30516511391</v>
      </c>
      <c r="Q106" s="155">
        <f t="shared" si="221"/>
        <v>-186010.8757441479</v>
      </c>
      <c r="R106" s="155">
        <f t="shared" si="221"/>
        <v>-186010.8757441479</v>
      </c>
      <c r="S106" s="155">
        <f t="shared" si="221"/>
        <v>-186010.8757441479</v>
      </c>
      <c r="T106" s="155">
        <f t="shared" si="221"/>
        <v>-174599.44632318188</v>
      </c>
      <c r="U106" s="155">
        <f t="shared" si="221"/>
        <v>-174599.44632318188</v>
      </c>
      <c r="V106" s="155">
        <f t="shared" si="221"/>
        <v>-174599.44632318188</v>
      </c>
      <c r="W106" s="155">
        <f t="shared" si="221"/>
        <v>-163188.01690221587</v>
      </c>
      <c r="X106" s="155">
        <f t="shared" si="221"/>
        <v>-163188.01690221587</v>
      </c>
      <c r="Y106" s="155">
        <f t="shared" si="221"/>
        <v>-163188.01690221587</v>
      </c>
      <c r="Z106" s="155">
        <f t="shared" si="221"/>
        <v>-151776.58748124985</v>
      </c>
      <c r="AA106" s="184">
        <f t="shared" si="218"/>
        <v>-151776.58748124985</v>
      </c>
      <c r="AB106" s="155">
        <f t="shared" ref="AB106:AM107" si="222">+AA106+SUMIF($B$332:$B$370,$A106,AB$332:AB$370)</f>
        <v>-151776.58748124985</v>
      </c>
      <c r="AC106" s="155">
        <f t="shared" si="222"/>
        <v>-151776.58748124985</v>
      </c>
      <c r="AD106" s="155">
        <f t="shared" si="222"/>
        <v>-143125.18187575234</v>
      </c>
      <c r="AE106" s="155">
        <f t="shared" si="222"/>
        <v>-143125.18187575234</v>
      </c>
      <c r="AF106" s="155">
        <f t="shared" si="222"/>
        <v>-143125.18187575234</v>
      </c>
      <c r="AG106" s="155">
        <f t="shared" si="222"/>
        <v>-134473.77627025486</v>
      </c>
      <c r="AH106" s="155">
        <f t="shared" si="222"/>
        <v>-134473.77627025486</v>
      </c>
      <c r="AI106" s="155">
        <f t="shared" si="222"/>
        <v>-134473.77627025486</v>
      </c>
      <c r="AJ106" s="155">
        <f t="shared" si="222"/>
        <v>-125822.37066475737</v>
      </c>
      <c r="AK106" s="155">
        <f t="shared" si="222"/>
        <v>-125822.37066475737</v>
      </c>
      <c r="AL106" s="155">
        <f t="shared" si="222"/>
        <v>-125822.37066475737</v>
      </c>
      <c r="AM106" s="155">
        <f t="shared" si="222"/>
        <v>-117170.96505925988</v>
      </c>
      <c r="AN106" s="184">
        <f t="shared" si="220"/>
        <v>-117170.96505925988</v>
      </c>
      <c r="AO106" s="155"/>
      <c r="AQ106" s="155">
        <f t="shared" si="213"/>
        <v>-186010.8757441479</v>
      </c>
      <c r="AR106" s="155">
        <f t="shared" si="214"/>
        <v>3280.0701931307099</v>
      </c>
      <c r="AS106" s="155">
        <f t="shared" si="214"/>
        <v>2976.5413095872714</v>
      </c>
      <c r="AT106" s="155">
        <f t="shared" si="214"/>
        <v>2682.8036803516852</v>
      </c>
      <c r="AU106" s="155">
        <f t="shared" si="214"/>
        <v>2379.2747968082467</v>
      </c>
      <c r="AV106" s="155">
        <f t="shared" si="214"/>
        <v>2085.5371675726606</v>
      </c>
      <c r="AW106" s="155">
        <f t="shared" si="214"/>
        <v>1782.0082840292216</v>
      </c>
      <c r="AX106" s="155">
        <f t="shared" si="214"/>
        <v>1478.4794004857829</v>
      </c>
      <c r="AY106" s="155">
        <f t="shared" si="214"/>
        <v>1204.3242798659026</v>
      </c>
      <c r="AZ106" s="155">
        <f t="shared" si="214"/>
        <v>900.79539632246372</v>
      </c>
      <c r="BA106" s="155">
        <f t="shared" si="214"/>
        <v>607.05776708687767</v>
      </c>
      <c r="BB106" s="155">
        <f t="shared" si="214"/>
        <v>303.52888354343884</v>
      </c>
      <c r="BC106" s="155">
        <f t="shared" si="214"/>
        <v>9.7912543078528653</v>
      </c>
      <c r="BD106" s="155">
        <f t="shared" si="215"/>
        <v>-143125.18187575234</v>
      </c>
      <c r="BE106" s="155">
        <f t="shared" si="216"/>
        <v>-166320.66333105581</v>
      </c>
    </row>
    <row r="107" spans="1:57" x14ac:dyDescent="0.15">
      <c r="A107" s="39" t="s">
        <v>638</v>
      </c>
      <c r="G107" s="155"/>
      <c r="H107" s="155">
        <f t="shared" si="208"/>
        <v>0</v>
      </c>
      <c r="I107" s="155">
        <f t="shared" si="208"/>
        <v>0</v>
      </c>
      <c r="J107" s="155">
        <f t="shared" si="208"/>
        <v>301302.34746345173</v>
      </c>
      <c r="K107" s="155">
        <f t="shared" si="208"/>
        <v>301302.34746345173</v>
      </c>
      <c r="L107" s="155">
        <f t="shared" si="208"/>
        <v>301302.34746345173</v>
      </c>
      <c r="M107" s="155">
        <f t="shared" si="208"/>
        <v>602604.69492690347</v>
      </c>
      <c r="N107" s="184">
        <f t="shared" si="209"/>
        <v>602604.69492690347</v>
      </c>
      <c r="O107" s="155">
        <f t="shared" si="210"/>
        <v>602604.69492690347</v>
      </c>
      <c r="P107" s="155">
        <f t="shared" si="221"/>
        <v>602604.69492690347</v>
      </c>
      <c r="Q107" s="155">
        <f t="shared" si="221"/>
        <v>433538.31285808049</v>
      </c>
      <c r="R107" s="155">
        <f t="shared" si="221"/>
        <v>433538.31285808049</v>
      </c>
      <c r="S107" s="155">
        <f t="shared" si="221"/>
        <v>433538.31285808049</v>
      </c>
      <c r="T107" s="155">
        <f t="shared" si="221"/>
        <v>264471.93078925752</v>
      </c>
      <c r="U107" s="155">
        <f t="shared" si="221"/>
        <v>264471.93078925752</v>
      </c>
      <c r="V107" s="155">
        <f>+U107+SUMIF($B$332:$B$370,$A107,V$332:V$370)</f>
        <v>264471.93078925752</v>
      </c>
      <c r="W107" s="155">
        <f>+V107+SUMIF($B$332:$B$370,$A107,W$332:W$370)</f>
        <v>95405.54872043457</v>
      </c>
      <c r="X107" s="155">
        <f>+W107+SUMIF($B$332:$B$370,$A107,X$332:X$370)</f>
        <v>95405.54872043457</v>
      </c>
      <c r="Y107" s="155">
        <f>+X107+SUMIF($B$332:$B$370,$A107,Y$332:Y$370)</f>
        <v>95405.54872043457</v>
      </c>
      <c r="Z107" s="155">
        <f>+Y107+SUMIF($B$332:$B$370,$A107,Z$332:Z$370)</f>
        <v>-73660.833348388376</v>
      </c>
      <c r="AA107" s="184">
        <f t="shared" si="218"/>
        <v>-73660.833348388376</v>
      </c>
      <c r="AB107" s="155">
        <f t="shared" si="222"/>
        <v>-73660.833348388376</v>
      </c>
      <c r="AC107" s="155">
        <f t="shared" ref="AC107:AM107" si="223">+AB107+SUMIF($B$332:$B$370,$A107,AC$332:AC$370)</f>
        <v>-73660.833348388376</v>
      </c>
      <c r="AD107" s="155">
        <f t="shared" si="223"/>
        <v>-73660.833348388376</v>
      </c>
      <c r="AE107" s="155">
        <f t="shared" si="223"/>
        <v>-73660.833348388376</v>
      </c>
      <c r="AF107" s="155">
        <f t="shared" si="223"/>
        <v>-73660.833348388376</v>
      </c>
      <c r="AG107" s="155">
        <f t="shared" si="223"/>
        <v>-73660.833348388376</v>
      </c>
      <c r="AH107" s="155">
        <f t="shared" si="223"/>
        <v>-73660.833348388376</v>
      </c>
      <c r="AI107" s="155">
        <f t="shared" si="223"/>
        <v>-73660.833348388376</v>
      </c>
      <c r="AJ107" s="155">
        <f t="shared" si="223"/>
        <v>-73660.833348388376</v>
      </c>
      <c r="AK107" s="155">
        <f t="shared" si="223"/>
        <v>-73660.833348388376</v>
      </c>
      <c r="AL107" s="155">
        <f t="shared" si="223"/>
        <v>-73660.833348388376</v>
      </c>
      <c r="AM107" s="155">
        <f t="shared" si="223"/>
        <v>-73660.833348388376</v>
      </c>
      <c r="AN107" s="184">
        <f t="shared" si="220"/>
        <v>-73660.833348388376</v>
      </c>
      <c r="AO107" s="155"/>
      <c r="AQ107" s="155">
        <f t="shared" si="213"/>
        <v>433538.31285808049</v>
      </c>
      <c r="AR107" s="155">
        <f t="shared" si="214"/>
        <v>-38792.628762366912</v>
      </c>
      <c r="AS107" s="155">
        <f t="shared" si="214"/>
        <v>-35202.863115700122</v>
      </c>
      <c r="AT107" s="155">
        <f t="shared" si="214"/>
        <v>-31728.896360861294</v>
      </c>
      <c r="AU107" s="155">
        <f t="shared" si="214"/>
        <v>-28139.130714194507</v>
      </c>
      <c r="AV107" s="155">
        <f t="shared" si="214"/>
        <v>-24665.163959355679</v>
      </c>
      <c r="AW107" s="155">
        <f t="shared" si="214"/>
        <v>-21075.398312688889</v>
      </c>
      <c r="AX107" s="155">
        <f t="shared" si="214"/>
        <v>-17485.632666022098</v>
      </c>
      <c r="AY107" s="155">
        <f t="shared" si="214"/>
        <v>-14243.263694839194</v>
      </c>
      <c r="AZ107" s="155">
        <f t="shared" si="214"/>
        <v>-10653.498048172405</v>
      </c>
      <c r="BA107" s="155">
        <f t="shared" si="214"/>
        <v>-7179.5312933335772</v>
      </c>
      <c r="BB107" s="155">
        <f t="shared" si="214"/>
        <v>-3589.7656466667886</v>
      </c>
      <c r="BC107" s="155">
        <f t="shared" si="214"/>
        <v>-115.79889182796093</v>
      </c>
      <c r="BD107" s="155">
        <f t="shared" si="215"/>
        <v>-73660.833348388376</v>
      </c>
      <c r="BE107" s="155">
        <f t="shared" si="216"/>
        <v>200666.74139205104</v>
      </c>
    </row>
    <row r="108" spans="1:57" x14ac:dyDescent="0.15">
      <c r="A108" s="39" t="s">
        <v>42</v>
      </c>
      <c r="G108" s="155">
        <v>82886.009999999995</v>
      </c>
      <c r="H108" s="155">
        <f t="shared" si="208"/>
        <v>82886.009999999995</v>
      </c>
      <c r="I108" s="155">
        <f t="shared" si="208"/>
        <v>82886.009999999995</v>
      </c>
      <c r="J108" s="155">
        <f t="shared" si="208"/>
        <v>82886.009999999995</v>
      </c>
      <c r="K108" s="155">
        <f t="shared" si="208"/>
        <v>82886.009999999995</v>
      </c>
      <c r="L108" s="155">
        <f t="shared" si="208"/>
        <v>82886.009999999995</v>
      </c>
      <c r="M108" s="155">
        <f t="shared" si="208"/>
        <v>82886.009999999995</v>
      </c>
      <c r="N108" s="184">
        <f t="shared" si="209"/>
        <v>82886.009999999995</v>
      </c>
      <c r="O108" s="155">
        <f t="shared" si="210"/>
        <v>82886.009999999995</v>
      </c>
      <c r="P108" s="155">
        <f t="shared" ref="P108:Z108" si="224">+O108+SUMIF($B$332:$B$370,$A108,P$332:P$370)</f>
        <v>82886.009999999995</v>
      </c>
      <c r="Q108" s="155">
        <f t="shared" si="224"/>
        <v>82886.009999999995</v>
      </c>
      <c r="R108" s="155">
        <f t="shared" si="224"/>
        <v>82886.009999999995</v>
      </c>
      <c r="S108" s="155">
        <f t="shared" si="224"/>
        <v>82886.009999999995</v>
      </c>
      <c r="T108" s="155">
        <f t="shared" si="224"/>
        <v>82886.009999999995</v>
      </c>
      <c r="U108" s="155">
        <f t="shared" si="224"/>
        <v>82886.009999999995</v>
      </c>
      <c r="V108" s="155">
        <f t="shared" si="224"/>
        <v>82886.009999999995</v>
      </c>
      <c r="W108" s="155">
        <f t="shared" si="224"/>
        <v>82886.009999999995</v>
      </c>
      <c r="X108" s="155">
        <f t="shared" si="224"/>
        <v>82886.009999999995</v>
      </c>
      <c r="Y108" s="155">
        <f t="shared" si="224"/>
        <v>82886.009999999995</v>
      </c>
      <c r="Z108" s="155">
        <f t="shared" si="224"/>
        <v>82886.009999999995</v>
      </c>
      <c r="AA108" s="184">
        <f t="shared" si="218"/>
        <v>82886.009999999995</v>
      </c>
      <c r="AB108" s="155">
        <f t="shared" ref="AB108:AM108" si="225">+AA108+SUMIF($B$332:$B$370,$A108,AB$332:AB$370)</f>
        <v>82886.009999999995</v>
      </c>
      <c r="AC108" s="155">
        <f t="shared" si="225"/>
        <v>82886.009999999995</v>
      </c>
      <c r="AD108" s="155">
        <f t="shared" si="225"/>
        <v>82886.009999999995</v>
      </c>
      <c r="AE108" s="155">
        <f t="shared" si="225"/>
        <v>82886.009999999995</v>
      </c>
      <c r="AF108" s="155">
        <f t="shared" si="225"/>
        <v>82886.009999999995</v>
      </c>
      <c r="AG108" s="155">
        <f t="shared" si="225"/>
        <v>82886.009999999995</v>
      </c>
      <c r="AH108" s="155">
        <f t="shared" si="225"/>
        <v>82886.009999999995</v>
      </c>
      <c r="AI108" s="155">
        <f t="shared" si="225"/>
        <v>82886.009999999995</v>
      </c>
      <c r="AJ108" s="155">
        <f t="shared" si="225"/>
        <v>82886.009999999995</v>
      </c>
      <c r="AK108" s="155">
        <f t="shared" si="225"/>
        <v>82886.009999999995</v>
      </c>
      <c r="AL108" s="155">
        <f t="shared" si="225"/>
        <v>82886.009999999995</v>
      </c>
      <c r="AM108" s="155">
        <f t="shared" si="225"/>
        <v>82886.009999999995</v>
      </c>
      <c r="AN108" s="184">
        <f t="shared" si="220"/>
        <v>82886.009999999995</v>
      </c>
      <c r="AO108" s="155"/>
      <c r="AQ108" s="155">
        <f t="shared" si="213"/>
        <v>82886.009999999995</v>
      </c>
      <c r="AR108" s="155">
        <f t="shared" si="214"/>
        <v>0</v>
      </c>
      <c r="AS108" s="155">
        <f t="shared" si="214"/>
        <v>0</v>
      </c>
      <c r="AT108" s="155">
        <f t="shared" si="214"/>
        <v>0</v>
      </c>
      <c r="AU108" s="155">
        <f t="shared" si="214"/>
        <v>0</v>
      </c>
      <c r="AV108" s="155">
        <f t="shared" si="214"/>
        <v>0</v>
      </c>
      <c r="AW108" s="155">
        <f t="shared" si="214"/>
        <v>0</v>
      </c>
      <c r="AX108" s="155">
        <f t="shared" si="214"/>
        <v>0</v>
      </c>
      <c r="AY108" s="155">
        <f t="shared" si="214"/>
        <v>0</v>
      </c>
      <c r="AZ108" s="155">
        <f t="shared" si="214"/>
        <v>0</v>
      </c>
      <c r="BA108" s="155">
        <f t="shared" si="214"/>
        <v>0</v>
      </c>
      <c r="BB108" s="155">
        <f t="shared" si="214"/>
        <v>0</v>
      </c>
      <c r="BC108" s="155">
        <f t="shared" si="214"/>
        <v>0</v>
      </c>
      <c r="BD108" s="155">
        <f t="shared" si="215"/>
        <v>82886.009999999995</v>
      </c>
      <c r="BE108" s="155">
        <f t="shared" si="216"/>
        <v>82886.009999999995</v>
      </c>
    </row>
    <row r="109" spans="1:57" x14ac:dyDescent="0.15">
      <c r="A109" s="39" t="s">
        <v>43</v>
      </c>
      <c r="G109" s="155">
        <v>-5061263.76</v>
      </c>
      <c r="H109" s="155">
        <f t="shared" si="208"/>
        <v>-5061263.76</v>
      </c>
      <c r="I109" s="155">
        <f t="shared" si="208"/>
        <v>-5061263.76</v>
      </c>
      <c r="J109" s="155">
        <f t="shared" si="208"/>
        <v>-6800988.4911360005</v>
      </c>
      <c r="K109" s="155">
        <f t="shared" si="208"/>
        <v>-6800988.4911360005</v>
      </c>
      <c r="L109" s="155">
        <f t="shared" si="208"/>
        <v>-6800988.4911360005</v>
      </c>
      <c r="M109" s="155">
        <f t="shared" si="208"/>
        <v>-7380896.734848001</v>
      </c>
      <c r="N109" s="184">
        <f t="shared" si="209"/>
        <v>-7380896.734848001</v>
      </c>
      <c r="O109" s="155">
        <f t="shared" si="210"/>
        <v>-7380896.734848001</v>
      </c>
      <c r="P109" s="155">
        <f t="shared" ref="P109:Z109" si="226">+O109+SUMIF($B$332:$B$370,$A109,P$332:P$370)</f>
        <v>-7380896.734848001</v>
      </c>
      <c r="Q109" s="155">
        <f t="shared" si="226"/>
        <v>-7537407.9152802685</v>
      </c>
      <c r="R109" s="155">
        <f t="shared" si="226"/>
        <v>-7537407.9152802685</v>
      </c>
      <c r="S109" s="155">
        <f t="shared" si="226"/>
        <v>-7537407.9152802685</v>
      </c>
      <c r="T109" s="155">
        <f t="shared" si="226"/>
        <v>-7693919.095712536</v>
      </c>
      <c r="U109" s="155">
        <f t="shared" si="226"/>
        <v>-7693919.095712536</v>
      </c>
      <c r="V109" s="155">
        <f t="shared" si="226"/>
        <v>-7693919.095712536</v>
      </c>
      <c r="W109" s="155">
        <f t="shared" si="226"/>
        <v>-7850430.2761448035</v>
      </c>
      <c r="X109" s="155">
        <f t="shared" si="226"/>
        <v>-7850430.2761448035</v>
      </c>
      <c r="Y109" s="155">
        <f t="shared" si="226"/>
        <v>-7850430.2761448035</v>
      </c>
      <c r="Z109" s="155">
        <f t="shared" si="226"/>
        <v>-8006941.456577071</v>
      </c>
      <c r="AA109" s="184">
        <f t="shared" si="218"/>
        <v>-8006941.456577071</v>
      </c>
      <c r="AB109" s="155">
        <f t="shared" ref="AB109:AM109" si="227">+AA109+SUMIF($B$332:$B$370,$A109,AB$332:AB$370)</f>
        <v>-8006941.456577071</v>
      </c>
      <c r="AC109" s="155">
        <f t="shared" si="227"/>
        <v>-8006941.456577071</v>
      </c>
      <c r="AD109" s="155">
        <f t="shared" si="227"/>
        <v>-8006941.456577071</v>
      </c>
      <c r="AE109" s="155">
        <f t="shared" si="227"/>
        <v>-8006941.456577071</v>
      </c>
      <c r="AF109" s="155">
        <f t="shared" si="227"/>
        <v>-8006941.456577071</v>
      </c>
      <c r="AG109" s="155">
        <f t="shared" si="227"/>
        <v>-8006941.456577071</v>
      </c>
      <c r="AH109" s="155">
        <f t="shared" si="227"/>
        <v>-8006941.456577071</v>
      </c>
      <c r="AI109" s="155">
        <f t="shared" si="227"/>
        <v>-8006941.456577071</v>
      </c>
      <c r="AJ109" s="155">
        <f t="shared" si="227"/>
        <v>-8006941.456577071</v>
      </c>
      <c r="AK109" s="155">
        <f t="shared" si="227"/>
        <v>-8006941.456577071</v>
      </c>
      <c r="AL109" s="155">
        <f t="shared" si="227"/>
        <v>-8006941.456577071</v>
      </c>
      <c r="AM109" s="155">
        <f t="shared" si="227"/>
        <v>-8006941.456577071</v>
      </c>
      <c r="AN109" s="184">
        <f t="shared" si="220"/>
        <v>-8006941.456577071</v>
      </c>
      <c r="AO109" s="155"/>
      <c r="AQ109" s="155">
        <f t="shared" si="213"/>
        <v>-7537407.9152802685</v>
      </c>
      <c r="AR109" s="155">
        <f t="shared" si="214"/>
        <v>-35911.81194849973</v>
      </c>
      <c r="AS109" s="155">
        <f t="shared" si="214"/>
        <v>-32588.629350280353</v>
      </c>
      <c r="AT109" s="155">
        <f t="shared" si="214"/>
        <v>-29372.646190713214</v>
      </c>
      <c r="AU109" s="155">
        <f t="shared" si="214"/>
        <v>-26049.463592493837</v>
      </c>
      <c r="AV109" s="155">
        <f t="shared" si="214"/>
        <v>-22833.480432926695</v>
      </c>
      <c r="AW109" s="155">
        <f t="shared" si="214"/>
        <v>-19510.297834707319</v>
      </c>
      <c r="AX109" s="155">
        <f t="shared" si="214"/>
        <v>-16187.11523648794</v>
      </c>
      <c r="AY109" s="155">
        <f t="shared" si="214"/>
        <v>-13185.530954225274</v>
      </c>
      <c r="AZ109" s="155">
        <f t="shared" si="214"/>
        <v>-9862.3483560058976</v>
      </c>
      <c r="BA109" s="155">
        <f t="shared" si="214"/>
        <v>-6646.3651964387564</v>
      </c>
      <c r="BB109" s="155">
        <f t="shared" si="214"/>
        <v>-3323.1825982193782</v>
      </c>
      <c r="BC109" s="155">
        <f t="shared" si="214"/>
        <v>-107.199438652238</v>
      </c>
      <c r="BD109" s="155">
        <f t="shared" si="215"/>
        <v>-8006941.456577071</v>
      </c>
      <c r="BE109" s="155">
        <f t="shared" si="216"/>
        <v>-7752985.9864099184</v>
      </c>
    </row>
    <row r="110" spans="1:57" x14ac:dyDescent="0.15">
      <c r="A110" s="39" t="s">
        <v>44</v>
      </c>
      <c r="G110" s="155">
        <v>9752181.3699999992</v>
      </c>
      <c r="H110" s="155">
        <f t="shared" si="208"/>
        <v>9752181.3699999992</v>
      </c>
      <c r="I110" s="155">
        <f t="shared" si="208"/>
        <v>9752181.3699999992</v>
      </c>
      <c r="J110" s="155">
        <f t="shared" si="208"/>
        <v>12090651.103386341</v>
      </c>
      <c r="K110" s="155">
        <f t="shared" si="208"/>
        <v>12090651.103386341</v>
      </c>
      <c r="L110" s="155">
        <f t="shared" si="208"/>
        <v>12090651.103386341</v>
      </c>
      <c r="M110" s="155">
        <f t="shared" si="208"/>
        <v>14429120.836772682</v>
      </c>
      <c r="N110" s="184">
        <f t="shared" si="209"/>
        <v>14429120.836772682</v>
      </c>
      <c r="O110" s="155">
        <f t="shared" si="210"/>
        <v>14429120.836772682</v>
      </c>
      <c r="P110" s="155">
        <f t="shared" ref="P110:Z110" si="228">+O110+SUMIF($B$332:$B$370,$A110,P$332:P$370)</f>
        <v>14429120.836772682</v>
      </c>
      <c r="Q110" s="155">
        <f t="shared" si="228"/>
        <v>16884936.989400472</v>
      </c>
      <c r="R110" s="155">
        <f t="shared" si="228"/>
        <v>16884936.989400472</v>
      </c>
      <c r="S110" s="155">
        <f t="shared" si="228"/>
        <v>16884936.989400472</v>
      </c>
      <c r="T110" s="155">
        <f t="shared" si="228"/>
        <v>19340753.142028265</v>
      </c>
      <c r="U110" s="155">
        <f t="shared" si="228"/>
        <v>19340753.142028265</v>
      </c>
      <c r="V110" s="155">
        <f t="shared" si="228"/>
        <v>19340753.142028265</v>
      </c>
      <c r="W110" s="155">
        <f t="shared" si="228"/>
        <v>21796569.294656057</v>
      </c>
      <c r="X110" s="155">
        <f t="shared" si="228"/>
        <v>21796569.294656057</v>
      </c>
      <c r="Y110" s="155">
        <f t="shared" si="228"/>
        <v>21796569.294656057</v>
      </c>
      <c r="Z110" s="155">
        <f t="shared" si="228"/>
        <v>24252385.447283849</v>
      </c>
      <c r="AA110" s="184">
        <f t="shared" si="218"/>
        <v>24252385.447283849</v>
      </c>
      <c r="AB110" s="155">
        <f t="shared" ref="AB110:AM110" si="229">+AA110+SUMIF($B$332:$B$370,$A110,AB$332:AB$370)</f>
        <v>24252385.447283849</v>
      </c>
      <c r="AC110" s="155">
        <f t="shared" si="229"/>
        <v>24252385.447283849</v>
      </c>
      <c r="AD110" s="155">
        <f t="shared" si="229"/>
        <v>26906391.517786104</v>
      </c>
      <c r="AE110" s="155">
        <f t="shared" si="229"/>
        <v>26906391.517786104</v>
      </c>
      <c r="AF110" s="155">
        <f t="shared" si="229"/>
        <v>26906391.517786104</v>
      </c>
      <c r="AG110" s="155">
        <f t="shared" si="229"/>
        <v>29560397.588288359</v>
      </c>
      <c r="AH110" s="155">
        <f t="shared" si="229"/>
        <v>29560397.588288359</v>
      </c>
      <c r="AI110" s="155">
        <f t="shared" si="229"/>
        <v>29560397.588288359</v>
      </c>
      <c r="AJ110" s="155">
        <f t="shared" si="229"/>
        <v>32214403.658790614</v>
      </c>
      <c r="AK110" s="155">
        <f t="shared" si="229"/>
        <v>32214403.658790614</v>
      </c>
      <c r="AL110" s="155">
        <f t="shared" si="229"/>
        <v>32214403.658790614</v>
      </c>
      <c r="AM110" s="155">
        <f t="shared" si="229"/>
        <v>34868409.72929287</v>
      </c>
      <c r="AN110" s="184">
        <f t="shared" si="220"/>
        <v>34868409.72929287</v>
      </c>
      <c r="AO110" s="155"/>
      <c r="AQ110" s="155">
        <f t="shared" si="213"/>
        <v>16884936.989400472</v>
      </c>
      <c r="AR110" s="155">
        <f t="shared" si="214"/>
        <v>766481.11118931195</v>
      </c>
      <c r="AS110" s="155">
        <f t="shared" si="214"/>
        <v>695553.0083628383</v>
      </c>
      <c r="AT110" s="155">
        <f t="shared" si="214"/>
        <v>626912.90885334776</v>
      </c>
      <c r="AU110" s="155">
        <f t="shared" si="214"/>
        <v>555984.80602687411</v>
      </c>
      <c r="AV110" s="155">
        <f t="shared" si="214"/>
        <v>487344.70651738346</v>
      </c>
      <c r="AW110" s="155">
        <f t="shared" si="214"/>
        <v>416416.6036909098</v>
      </c>
      <c r="AX110" s="155">
        <f t="shared" si="214"/>
        <v>345488.50086443615</v>
      </c>
      <c r="AY110" s="155">
        <f t="shared" si="214"/>
        <v>281424.40798891155</v>
      </c>
      <c r="AZ110" s="155">
        <f t="shared" si="214"/>
        <v>210496.30516243793</v>
      </c>
      <c r="BA110" s="155">
        <f t="shared" si="214"/>
        <v>141856.20565294728</v>
      </c>
      <c r="BB110" s="155">
        <f t="shared" si="214"/>
        <v>70928.102826473638</v>
      </c>
      <c r="BC110" s="155">
        <f t="shared" si="214"/>
        <v>2288.0033169830208</v>
      </c>
      <c r="BD110" s="155">
        <f t="shared" si="215"/>
        <v>26906391.517786104</v>
      </c>
      <c r="BE110" s="155">
        <f t="shared" si="216"/>
        <v>21486111.659853332</v>
      </c>
    </row>
    <row r="111" spans="1:57" x14ac:dyDescent="0.15">
      <c r="A111" s="39" t="s">
        <v>45</v>
      </c>
      <c r="G111" s="155">
        <v>953415.37</v>
      </c>
      <c r="H111" s="155">
        <f t="shared" si="208"/>
        <v>953415.37</v>
      </c>
      <c r="I111" s="155">
        <f t="shared" si="208"/>
        <v>953415.37</v>
      </c>
      <c r="J111" s="155">
        <f t="shared" si="208"/>
        <v>953415.37</v>
      </c>
      <c r="K111" s="155">
        <f t="shared" si="208"/>
        <v>953415.37</v>
      </c>
      <c r="L111" s="155">
        <f t="shared" si="208"/>
        <v>953415.37</v>
      </c>
      <c r="M111" s="155">
        <f t="shared" si="208"/>
        <v>953415.37</v>
      </c>
      <c r="N111" s="184">
        <f t="shared" si="209"/>
        <v>953415.37</v>
      </c>
      <c r="O111" s="155">
        <f t="shared" si="210"/>
        <v>953415.37</v>
      </c>
      <c r="P111" s="155">
        <f t="shared" ref="P111:Z111" si="230">+O111+SUMIF($B$332:$B$370,$A111,P$332:P$370)</f>
        <v>953415.37</v>
      </c>
      <c r="Q111" s="155">
        <f t="shared" si="230"/>
        <v>953415.37</v>
      </c>
      <c r="R111" s="155">
        <f t="shared" si="230"/>
        <v>953415.37</v>
      </c>
      <c r="S111" s="155">
        <f t="shared" si="230"/>
        <v>953415.37</v>
      </c>
      <c r="T111" s="155">
        <f t="shared" si="230"/>
        <v>953415.37</v>
      </c>
      <c r="U111" s="155">
        <f t="shared" si="230"/>
        <v>953415.37</v>
      </c>
      <c r="V111" s="155">
        <f t="shared" si="230"/>
        <v>953415.37</v>
      </c>
      <c r="W111" s="155">
        <f t="shared" si="230"/>
        <v>953415.37</v>
      </c>
      <c r="X111" s="155">
        <f t="shared" si="230"/>
        <v>953415.37</v>
      </c>
      <c r="Y111" s="155">
        <f t="shared" si="230"/>
        <v>953415.37</v>
      </c>
      <c r="Z111" s="155">
        <f t="shared" si="230"/>
        <v>953415.37</v>
      </c>
      <c r="AA111" s="184">
        <f t="shared" si="218"/>
        <v>953415.37</v>
      </c>
      <c r="AB111" s="155">
        <f t="shared" ref="AB111:AM111" si="231">+AA111+SUMIF($B$332:$B$370,$A111,AB$332:AB$370)</f>
        <v>953415.37</v>
      </c>
      <c r="AC111" s="155">
        <f t="shared" si="231"/>
        <v>953415.37</v>
      </c>
      <c r="AD111" s="155">
        <f t="shared" si="231"/>
        <v>953415.37</v>
      </c>
      <c r="AE111" s="155">
        <f t="shared" si="231"/>
        <v>953415.37</v>
      </c>
      <c r="AF111" s="155">
        <f t="shared" si="231"/>
        <v>953415.37</v>
      </c>
      <c r="AG111" s="155">
        <f t="shared" si="231"/>
        <v>953415.37</v>
      </c>
      <c r="AH111" s="155">
        <f t="shared" si="231"/>
        <v>953415.37</v>
      </c>
      <c r="AI111" s="155">
        <f t="shared" si="231"/>
        <v>953415.37</v>
      </c>
      <c r="AJ111" s="155">
        <f t="shared" si="231"/>
        <v>953415.37</v>
      </c>
      <c r="AK111" s="155">
        <f t="shared" si="231"/>
        <v>953415.37</v>
      </c>
      <c r="AL111" s="155">
        <f t="shared" si="231"/>
        <v>953415.37</v>
      </c>
      <c r="AM111" s="155">
        <f t="shared" si="231"/>
        <v>953415.37</v>
      </c>
      <c r="AN111" s="184">
        <f t="shared" si="220"/>
        <v>953415.37</v>
      </c>
      <c r="AO111" s="155"/>
      <c r="AQ111" s="155">
        <f t="shared" si="213"/>
        <v>953415.37</v>
      </c>
      <c r="AR111" s="155">
        <f t="shared" si="214"/>
        <v>0</v>
      </c>
      <c r="AS111" s="155">
        <f t="shared" si="214"/>
        <v>0</v>
      </c>
      <c r="AT111" s="155">
        <f t="shared" si="214"/>
        <v>0</v>
      </c>
      <c r="AU111" s="155">
        <f t="shared" si="214"/>
        <v>0</v>
      </c>
      <c r="AV111" s="155">
        <f t="shared" si="214"/>
        <v>0</v>
      </c>
      <c r="AW111" s="155">
        <f t="shared" si="214"/>
        <v>0</v>
      </c>
      <c r="AX111" s="155">
        <f t="shared" si="214"/>
        <v>0</v>
      </c>
      <c r="AY111" s="155">
        <f t="shared" si="214"/>
        <v>0</v>
      </c>
      <c r="AZ111" s="155">
        <f t="shared" si="214"/>
        <v>0</v>
      </c>
      <c r="BA111" s="155">
        <f t="shared" si="214"/>
        <v>0</v>
      </c>
      <c r="BB111" s="155">
        <f t="shared" si="214"/>
        <v>0</v>
      </c>
      <c r="BC111" s="155">
        <f t="shared" si="214"/>
        <v>0</v>
      </c>
      <c r="BD111" s="155">
        <f t="shared" si="215"/>
        <v>953415.37</v>
      </c>
      <c r="BE111" s="155">
        <f t="shared" si="216"/>
        <v>953415.37</v>
      </c>
    </row>
    <row r="112" spans="1:57" x14ac:dyDescent="0.15">
      <c r="A112" s="39" t="s">
        <v>46</v>
      </c>
      <c r="G112" s="155">
        <v>205059.64</v>
      </c>
      <c r="H112" s="155">
        <f t="shared" si="208"/>
        <v>205059.64</v>
      </c>
      <c r="I112" s="155">
        <f t="shared" si="208"/>
        <v>205059.64</v>
      </c>
      <c r="J112" s="155">
        <f t="shared" si="208"/>
        <v>205059.64</v>
      </c>
      <c r="K112" s="155">
        <f t="shared" si="208"/>
        <v>205059.64</v>
      </c>
      <c r="L112" s="155">
        <f t="shared" si="208"/>
        <v>205059.64</v>
      </c>
      <c r="M112" s="155">
        <f t="shared" si="208"/>
        <v>205059.64</v>
      </c>
      <c r="N112" s="184">
        <f t="shared" si="209"/>
        <v>205059.64</v>
      </c>
      <c r="O112" s="155">
        <f t="shared" si="210"/>
        <v>205059.64</v>
      </c>
      <c r="P112" s="155">
        <f t="shared" ref="P112:Z112" si="232">+O112+SUMIF($B$332:$B$370,$A112,P$332:P$370)</f>
        <v>205059.64</v>
      </c>
      <c r="Q112" s="155">
        <f t="shared" si="232"/>
        <v>205059.64</v>
      </c>
      <c r="R112" s="155">
        <f t="shared" si="232"/>
        <v>205059.64</v>
      </c>
      <c r="S112" s="155">
        <f t="shared" si="232"/>
        <v>205059.64</v>
      </c>
      <c r="T112" s="155">
        <f t="shared" si="232"/>
        <v>205059.64</v>
      </c>
      <c r="U112" s="155">
        <f t="shared" si="232"/>
        <v>205059.64</v>
      </c>
      <c r="V112" s="155">
        <f t="shared" si="232"/>
        <v>205059.64</v>
      </c>
      <c r="W112" s="155">
        <f t="shared" si="232"/>
        <v>205059.64</v>
      </c>
      <c r="X112" s="155">
        <f t="shared" si="232"/>
        <v>205059.64</v>
      </c>
      <c r="Y112" s="155">
        <f t="shared" si="232"/>
        <v>205059.64</v>
      </c>
      <c r="Z112" s="155">
        <f t="shared" si="232"/>
        <v>205059.64</v>
      </c>
      <c r="AA112" s="184">
        <f t="shared" si="218"/>
        <v>205059.64</v>
      </c>
      <c r="AB112" s="155">
        <f t="shared" ref="AB112:AM112" si="233">+AA112+SUMIF($B$332:$B$370,$A112,AB$332:AB$370)</f>
        <v>205059.64</v>
      </c>
      <c r="AC112" s="155">
        <f t="shared" si="233"/>
        <v>205059.64</v>
      </c>
      <c r="AD112" s="155">
        <f t="shared" si="233"/>
        <v>205059.64</v>
      </c>
      <c r="AE112" s="155">
        <f t="shared" si="233"/>
        <v>205059.64</v>
      </c>
      <c r="AF112" s="155">
        <f t="shared" si="233"/>
        <v>205059.64</v>
      </c>
      <c r="AG112" s="155">
        <f t="shared" si="233"/>
        <v>205059.64</v>
      </c>
      <c r="AH112" s="155">
        <f t="shared" si="233"/>
        <v>205059.64</v>
      </c>
      <c r="AI112" s="155">
        <f t="shared" si="233"/>
        <v>205059.64</v>
      </c>
      <c r="AJ112" s="155">
        <f t="shared" si="233"/>
        <v>205059.64</v>
      </c>
      <c r="AK112" s="155">
        <f t="shared" si="233"/>
        <v>205059.64</v>
      </c>
      <c r="AL112" s="155">
        <f t="shared" si="233"/>
        <v>205059.64</v>
      </c>
      <c r="AM112" s="155">
        <f t="shared" si="233"/>
        <v>205059.64</v>
      </c>
      <c r="AN112" s="184">
        <f t="shared" si="220"/>
        <v>205059.64</v>
      </c>
      <c r="AO112" s="155"/>
      <c r="AQ112" s="155">
        <f t="shared" si="213"/>
        <v>205059.64</v>
      </c>
      <c r="AR112" s="155">
        <f t="shared" si="214"/>
        <v>0</v>
      </c>
      <c r="AS112" s="155">
        <f t="shared" si="214"/>
        <v>0</v>
      </c>
      <c r="AT112" s="155">
        <f t="shared" si="214"/>
        <v>0</v>
      </c>
      <c r="AU112" s="155">
        <f t="shared" si="214"/>
        <v>0</v>
      </c>
      <c r="AV112" s="155">
        <f t="shared" si="214"/>
        <v>0</v>
      </c>
      <c r="AW112" s="155">
        <f t="shared" si="214"/>
        <v>0</v>
      </c>
      <c r="AX112" s="155">
        <f t="shared" si="214"/>
        <v>0</v>
      </c>
      <c r="AY112" s="155">
        <f t="shared" si="214"/>
        <v>0</v>
      </c>
      <c r="AZ112" s="155">
        <f t="shared" si="214"/>
        <v>0</v>
      </c>
      <c r="BA112" s="155">
        <f t="shared" si="214"/>
        <v>0</v>
      </c>
      <c r="BB112" s="155">
        <f t="shared" si="214"/>
        <v>0</v>
      </c>
      <c r="BC112" s="155">
        <f t="shared" si="214"/>
        <v>0</v>
      </c>
      <c r="BD112" s="155">
        <f t="shared" si="215"/>
        <v>205059.64</v>
      </c>
      <c r="BE112" s="155">
        <f t="shared" si="216"/>
        <v>205059.64</v>
      </c>
    </row>
    <row r="113" spans="1:57" x14ac:dyDescent="0.15">
      <c r="A113" s="39" t="s">
        <v>87</v>
      </c>
      <c r="G113" s="155">
        <v>1636181.08</v>
      </c>
      <c r="H113" s="155">
        <f t="shared" si="208"/>
        <v>1636181.08</v>
      </c>
      <c r="I113" s="155">
        <f t="shared" si="208"/>
        <v>1636181.08</v>
      </c>
      <c r="J113" s="155">
        <f t="shared" si="208"/>
        <v>1636181.08</v>
      </c>
      <c r="K113" s="155">
        <f t="shared" si="208"/>
        <v>1636181.08</v>
      </c>
      <c r="L113" s="155">
        <f t="shared" si="208"/>
        <v>1636181.08</v>
      </c>
      <c r="M113" s="155">
        <f t="shared" si="208"/>
        <v>1636181.08</v>
      </c>
      <c r="N113" s="184">
        <f t="shared" si="209"/>
        <v>1636181.08</v>
      </c>
      <c r="O113" s="155">
        <f t="shared" si="210"/>
        <v>1636181.08</v>
      </c>
      <c r="P113" s="155">
        <f t="shared" ref="P113:Z113" si="234">+O113+SUMIF($B$332:$B$370,$A113,P$332:P$370)</f>
        <v>1636181.08</v>
      </c>
      <c r="Q113" s="155">
        <f t="shared" si="234"/>
        <v>1636181.08</v>
      </c>
      <c r="R113" s="155">
        <f t="shared" si="234"/>
        <v>1636181.08</v>
      </c>
      <c r="S113" s="155">
        <f t="shared" si="234"/>
        <v>1636181.08</v>
      </c>
      <c r="T113" s="155">
        <f t="shared" si="234"/>
        <v>1636181.08</v>
      </c>
      <c r="U113" s="155">
        <f t="shared" si="234"/>
        <v>1636181.08</v>
      </c>
      <c r="V113" s="155">
        <f t="shared" si="234"/>
        <v>1636181.08</v>
      </c>
      <c r="W113" s="155">
        <f t="shared" si="234"/>
        <v>1636181.08</v>
      </c>
      <c r="X113" s="155">
        <f t="shared" si="234"/>
        <v>1636181.08</v>
      </c>
      <c r="Y113" s="155">
        <f t="shared" si="234"/>
        <v>1636181.08</v>
      </c>
      <c r="Z113" s="155">
        <f t="shared" si="234"/>
        <v>1636181.08</v>
      </c>
      <c r="AA113" s="184">
        <f t="shared" si="218"/>
        <v>1636181.08</v>
      </c>
      <c r="AB113" s="155">
        <f t="shared" ref="AB113:AM113" si="235">+AA113+SUMIF($B$332:$B$370,$A113,AB$332:AB$370)</f>
        <v>1636181.08</v>
      </c>
      <c r="AC113" s="155">
        <f t="shared" si="235"/>
        <v>1636181.08</v>
      </c>
      <c r="AD113" s="155">
        <f t="shared" si="235"/>
        <v>1636181.08</v>
      </c>
      <c r="AE113" s="155">
        <f t="shared" si="235"/>
        <v>1636181.08</v>
      </c>
      <c r="AF113" s="155">
        <f t="shared" si="235"/>
        <v>1636181.08</v>
      </c>
      <c r="AG113" s="155">
        <f t="shared" si="235"/>
        <v>1636181.08</v>
      </c>
      <c r="AH113" s="155">
        <f t="shared" si="235"/>
        <v>1636181.08</v>
      </c>
      <c r="AI113" s="155">
        <f t="shared" si="235"/>
        <v>1636181.08</v>
      </c>
      <c r="AJ113" s="155">
        <f t="shared" si="235"/>
        <v>1636181.08</v>
      </c>
      <c r="AK113" s="155">
        <f t="shared" si="235"/>
        <v>1636181.08</v>
      </c>
      <c r="AL113" s="155">
        <f t="shared" si="235"/>
        <v>1636181.08</v>
      </c>
      <c r="AM113" s="155">
        <f t="shared" si="235"/>
        <v>1636181.08</v>
      </c>
      <c r="AN113" s="184">
        <f t="shared" si="220"/>
        <v>1636181.08</v>
      </c>
      <c r="AO113" s="155"/>
      <c r="AQ113" s="155">
        <f t="shared" si="213"/>
        <v>1636181.08</v>
      </c>
      <c r="AR113" s="155">
        <f t="shared" si="214"/>
        <v>0</v>
      </c>
      <c r="AS113" s="155">
        <f t="shared" si="214"/>
        <v>0</v>
      </c>
      <c r="AT113" s="155">
        <f t="shared" si="214"/>
        <v>0</v>
      </c>
      <c r="AU113" s="155">
        <f t="shared" si="214"/>
        <v>0</v>
      </c>
      <c r="AV113" s="155">
        <f t="shared" si="214"/>
        <v>0</v>
      </c>
      <c r="AW113" s="155">
        <f t="shared" si="214"/>
        <v>0</v>
      </c>
      <c r="AX113" s="155">
        <f t="shared" si="214"/>
        <v>0</v>
      </c>
      <c r="AY113" s="155">
        <f t="shared" si="214"/>
        <v>0</v>
      </c>
      <c r="AZ113" s="155">
        <f t="shared" si="214"/>
        <v>0</v>
      </c>
      <c r="BA113" s="155">
        <f t="shared" si="214"/>
        <v>0</v>
      </c>
      <c r="BB113" s="155">
        <f t="shared" si="214"/>
        <v>0</v>
      </c>
      <c r="BC113" s="155">
        <f t="shared" si="214"/>
        <v>0</v>
      </c>
      <c r="BD113" s="155">
        <f t="shared" si="215"/>
        <v>1636181.08</v>
      </c>
      <c r="BE113" s="155">
        <f t="shared" si="216"/>
        <v>1636181.08</v>
      </c>
    </row>
    <row r="114" spans="1:57" x14ac:dyDescent="0.15">
      <c r="A114" s="39" t="s">
        <v>656</v>
      </c>
      <c r="G114" s="155">
        <v>-19686.310000000001</v>
      </c>
      <c r="H114" s="155">
        <f t="shared" ref="H114:M123" si="236">+G114+SUMIF($B$332:$B$370,$A114,H$332:H$370)</f>
        <v>-19686.310000000001</v>
      </c>
      <c r="I114" s="155">
        <f t="shared" si="236"/>
        <v>-19686.310000000001</v>
      </c>
      <c r="J114" s="155">
        <f t="shared" si="236"/>
        <v>-19686.310000000001</v>
      </c>
      <c r="K114" s="155">
        <f t="shared" si="236"/>
        <v>-19686.310000000001</v>
      </c>
      <c r="L114" s="155">
        <f t="shared" si="236"/>
        <v>-19686.310000000001</v>
      </c>
      <c r="M114" s="155">
        <f t="shared" si="236"/>
        <v>-19686.310000000001</v>
      </c>
      <c r="N114" s="184">
        <f t="shared" si="209"/>
        <v>-19686.310000000001</v>
      </c>
      <c r="O114" s="155">
        <f t="shared" si="210"/>
        <v>-19686.310000000001</v>
      </c>
      <c r="P114" s="155">
        <f t="shared" ref="P114:Z114" si="237">+O114+SUMIF($B$332:$B$370,$A114,P$332:P$370)</f>
        <v>-19686.310000000001</v>
      </c>
      <c r="Q114" s="155">
        <f t="shared" si="237"/>
        <v>-19686.310000000001</v>
      </c>
      <c r="R114" s="155">
        <f t="shared" si="237"/>
        <v>-19686.310000000001</v>
      </c>
      <c r="S114" s="155">
        <f t="shared" si="237"/>
        <v>-19686.310000000001</v>
      </c>
      <c r="T114" s="155">
        <f t="shared" si="237"/>
        <v>-19686.310000000001</v>
      </c>
      <c r="U114" s="155">
        <f t="shared" si="237"/>
        <v>-19686.310000000001</v>
      </c>
      <c r="V114" s="155">
        <f t="shared" si="237"/>
        <v>-19686.310000000001</v>
      </c>
      <c r="W114" s="155">
        <f t="shared" si="237"/>
        <v>-19686.310000000001</v>
      </c>
      <c r="X114" s="155">
        <f t="shared" si="237"/>
        <v>-19686.310000000001</v>
      </c>
      <c r="Y114" s="155">
        <f t="shared" si="237"/>
        <v>-19686.310000000001</v>
      </c>
      <c r="Z114" s="155">
        <f t="shared" si="237"/>
        <v>-19686.310000000001</v>
      </c>
      <c r="AA114" s="184">
        <f>+Z114</f>
        <v>-19686.310000000001</v>
      </c>
      <c r="AB114" s="155">
        <f t="shared" ref="AB114:AM114" si="238">+AA114+SUMIF($B$332:$B$370,$A114,AB$332:AB$370)</f>
        <v>-19686.310000000001</v>
      </c>
      <c r="AC114" s="155">
        <f t="shared" si="238"/>
        <v>-19686.310000000001</v>
      </c>
      <c r="AD114" s="155">
        <f t="shared" si="238"/>
        <v>-19686.310000000001</v>
      </c>
      <c r="AE114" s="155">
        <f t="shared" si="238"/>
        <v>-19686.310000000001</v>
      </c>
      <c r="AF114" s="155">
        <f t="shared" si="238"/>
        <v>-19686.310000000001</v>
      </c>
      <c r="AG114" s="155">
        <f t="shared" si="238"/>
        <v>-19686.310000000001</v>
      </c>
      <c r="AH114" s="155">
        <f t="shared" si="238"/>
        <v>-19686.310000000001</v>
      </c>
      <c r="AI114" s="155">
        <f t="shared" si="238"/>
        <v>-19686.310000000001</v>
      </c>
      <c r="AJ114" s="155">
        <f t="shared" si="238"/>
        <v>-19686.310000000001</v>
      </c>
      <c r="AK114" s="155">
        <f t="shared" si="238"/>
        <v>-19686.310000000001</v>
      </c>
      <c r="AL114" s="155">
        <f t="shared" si="238"/>
        <v>-19686.310000000001</v>
      </c>
      <c r="AM114" s="155">
        <f t="shared" si="238"/>
        <v>-19686.310000000001</v>
      </c>
      <c r="AN114" s="184">
        <f>+AM114</f>
        <v>-19686.310000000001</v>
      </c>
      <c r="AO114" s="155"/>
      <c r="AQ114" s="155">
        <f t="shared" si="213"/>
        <v>-19686.310000000001</v>
      </c>
      <c r="AR114" s="155">
        <f t="shared" si="214"/>
        <v>0</v>
      </c>
      <c r="AS114" s="155">
        <f t="shared" si="214"/>
        <v>0</v>
      </c>
      <c r="AT114" s="155">
        <f t="shared" si="214"/>
        <v>0</v>
      </c>
      <c r="AU114" s="155">
        <f t="shared" si="214"/>
        <v>0</v>
      </c>
      <c r="AV114" s="155">
        <f t="shared" si="214"/>
        <v>0</v>
      </c>
      <c r="AW114" s="155">
        <f t="shared" si="214"/>
        <v>0</v>
      </c>
      <c r="AX114" s="155">
        <f t="shared" si="214"/>
        <v>0</v>
      </c>
      <c r="AY114" s="155">
        <f t="shared" si="214"/>
        <v>0</v>
      </c>
      <c r="AZ114" s="155">
        <f t="shared" si="214"/>
        <v>0</v>
      </c>
      <c r="BA114" s="155">
        <f t="shared" si="214"/>
        <v>0</v>
      </c>
      <c r="BB114" s="155">
        <f t="shared" si="214"/>
        <v>0</v>
      </c>
      <c r="BC114" s="155">
        <f t="shared" si="214"/>
        <v>0</v>
      </c>
      <c r="BD114" s="155">
        <f t="shared" si="215"/>
        <v>-19686.310000000001</v>
      </c>
      <c r="BE114" s="155">
        <f t="shared" si="216"/>
        <v>-19686.310000000001</v>
      </c>
    </row>
    <row r="115" spans="1:57" x14ac:dyDescent="0.15">
      <c r="A115" s="39" t="s">
        <v>47</v>
      </c>
      <c r="G115" s="155">
        <v>385525.28</v>
      </c>
      <c r="H115" s="155">
        <f t="shared" si="236"/>
        <v>385525.28</v>
      </c>
      <c r="I115" s="155">
        <f t="shared" si="236"/>
        <v>385525.28</v>
      </c>
      <c r="J115" s="155">
        <f t="shared" si="236"/>
        <v>527804.85006042442</v>
      </c>
      <c r="K115" s="155">
        <f t="shared" si="236"/>
        <v>527804.85006042442</v>
      </c>
      <c r="L115" s="155">
        <f t="shared" si="236"/>
        <v>527804.85006042442</v>
      </c>
      <c r="M115" s="155">
        <f t="shared" si="236"/>
        <v>670084.42012084881</v>
      </c>
      <c r="N115" s="184">
        <f t="shared" si="209"/>
        <v>670084.42012084881</v>
      </c>
      <c r="O115" s="155">
        <f t="shared" si="210"/>
        <v>670084.42012084881</v>
      </c>
      <c r="P115" s="155">
        <f t="shared" ref="P115:Z115" si="239">+O115+SUMIF($B$332:$B$370,$A115,P$332:P$370)</f>
        <v>670084.42012084881</v>
      </c>
      <c r="Q115" s="155">
        <f t="shared" si="239"/>
        <v>791166.53122863732</v>
      </c>
      <c r="R115" s="155">
        <f t="shared" si="239"/>
        <v>791166.53122863732</v>
      </c>
      <c r="S115" s="155">
        <f t="shared" si="239"/>
        <v>791166.53122863732</v>
      </c>
      <c r="T115" s="155">
        <f t="shared" si="239"/>
        <v>912248.64233642584</v>
      </c>
      <c r="U115" s="155">
        <f t="shared" si="239"/>
        <v>912248.64233642584</v>
      </c>
      <c r="V115" s="155">
        <f t="shared" si="239"/>
        <v>912248.64233642584</v>
      </c>
      <c r="W115" s="155">
        <f t="shared" si="239"/>
        <v>1033330.7534442144</v>
      </c>
      <c r="X115" s="155">
        <f t="shared" si="239"/>
        <v>1033330.7534442144</v>
      </c>
      <c r="Y115" s="155">
        <f t="shared" si="239"/>
        <v>1033330.7534442144</v>
      </c>
      <c r="Z115" s="155">
        <f t="shared" si="239"/>
        <v>1154412.8645520029</v>
      </c>
      <c r="AA115" s="184">
        <f t="shared" si="218"/>
        <v>1154412.8645520029</v>
      </c>
      <c r="AB115" s="155">
        <f t="shared" ref="AB115:AM115" si="240">+AA115+SUMIF($B$332:$B$370,$A115,AB$332:AB$370)</f>
        <v>1154412.8645520029</v>
      </c>
      <c r="AC115" s="155">
        <f t="shared" si="240"/>
        <v>1154412.8645520029</v>
      </c>
      <c r="AD115" s="155">
        <f t="shared" si="240"/>
        <v>1272231.456768607</v>
      </c>
      <c r="AE115" s="155">
        <f t="shared" si="240"/>
        <v>1272231.456768607</v>
      </c>
      <c r="AF115" s="155">
        <f t="shared" si="240"/>
        <v>1272231.456768607</v>
      </c>
      <c r="AG115" s="155">
        <f t="shared" si="240"/>
        <v>1390050.0489852112</v>
      </c>
      <c r="AH115" s="155">
        <f t="shared" si="240"/>
        <v>1390050.0489852112</v>
      </c>
      <c r="AI115" s="155">
        <f t="shared" si="240"/>
        <v>1390050.0489852112</v>
      </c>
      <c r="AJ115" s="155">
        <f t="shared" si="240"/>
        <v>1507868.6412018153</v>
      </c>
      <c r="AK115" s="155">
        <f t="shared" si="240"/>
        <v>1507868.6412018153</v>
      </c>
      <c r="AL115" s="155">
        <f t="shared" si="240"/>
        <v>1507868.6412018153</v>
      </c>
      <c r="AM115" s="155">
        <f t="shared" si="240"/>
        <v>1625687.2334184195</v>
      </c>
      <c r="AN115" s="184">
        <f t="shared" si="220"/>
        <v>1625687.2334184195</v>
      </c>
      <c r="AO115" s="155"/>
      <c r="AQ115" s="155">
        <f t="shared" si="213"/>
        <v>791166.53122863732</v>
      </c>
      <c r="AR115" s="155">
        <f t="shared" si="214"/>
        <v>36793.778551573028</v>
      </c>
      <c r="AS115" s="155">
        <f t="shared" si="214"/>
        <v>33388.981133367764</v>
      </c>
      <c r="AT115" s="155">
        <f t="shared" si="214"/>
        <v>30094.015889943312</v>
      </c>
      <c r="AU115" s="155">
        <f t="shared" si="214"/>
        <v>26689.218471738048</v>
      </c>
      <c r="AV115" s="155">
        <f t="shared" si="214"/>
        <v>23394.253228313599</v>
      </c>
      <c r="AW115" s="155">
        <f t="shared" si="214"/>
        <v>19989.455810108331</v>
      </c>
      <c r="AX115" s="155">
        <f t="shared" si="214"/>
        <v>16584.658391903067</v>
      </c>
      <c r="AY115" s="155">
        <f t="shared" si="214"/>
        <v>13509.357498040246</v>
      </c>
      <c r="AZ115" s="155">
        <f t="shared" si="214"/>
        <v>10104.560079834981</v>
      </c>
      <c r="BA115" s="155">
        <f t="shared" si="214"/>
        <v>6809.5948364105307</v>
      </c>
      <c r="BB115" s="155">
        <f t="shared" si="214"/>
        <v>3404.7974182052653</v>
      </c>
      <c r="BC115" s="155">
        <f t="shared" si="214"/>
        <v>109.83217478081501</v>
      </c>
      <c r="BD115" s="155">
        <f t="shared" si="215"/>
        <v>1272231.456768607</v>
      </c>
      <c r="BE115" s="155">
        <f t="shared" si="216"/>
        <v>1012039.0347128563</v>
      </c>
    </row>
    <row r="116" spans="1:57" x14ac:dyDescent="0.15">
      <c r="A116" s="39" t="s">
        <v>48</v>
      </c>
      <c r="G116" s="155">
        <v>39388.49</v>
      </c>
      <c r="H116" s="155">
        <f t="shared" si="236"/>
        <v>39388.49</v>
      </c>
      <c r="I116" s="155">
        <f t="shared" si="236"/>
        <v>39388.49</v>
      </c>
      <c r="J116" s="155">
        <f t="shared" si="236"/>
        <v>39388.49</v>
      </c>
      <c r="K116" s="155">
        <f t="shared" si="236"/>
        <v>39388.49</v>
      </c>
      <c r="L116" s="155">
        <f t="shared" si="236"/>
        <v>39388.49</v>
      </c>
      <c r="M116" s="155">
        <f t="shared" si="236"/>
        <v>39388.49</v>
      </c>
      <c r="N116" s="184">
        <f t="shared" si="209"/>
        <v>39388.49</v>
      </c>
      <c r="O116" s="155">
        <f t="shared" si="210"/>
        <v>39388.49</v>
      </c>
      <c r="P116" s="155">
        <f t="shared" ref="P116:Z116" si="241">+O116+SUMIF($B$332:$B$370,$A116,P$332:P$370)</f>
        <v>39388.49</v>
      </c>
      <c r="Q116" s="155">
        <f t="shared" si="241"/>
        <v>39388.49</v>
      </c>
      <c r="R116" s="155">
        <f t="shared" si="241"/>
        <v>39388.49</v>
      </c>
      <c r="S116" s="155">
        <f t="shared" si="241"/>
        <v>39388.49</v>
      </c>
      <c r="T116" s="155">
        <f t="shared" si="241"/>
        <v>39388.49</v>
      </c>
      <c r="U116" s="155">
        <f t="shared" si="241"/>
        <v>39388.49</v>
      </c>
      <c r="V116" s="155">
        <f t="shared" si="241"/>
        <v>39388.49</v>
      </c>
      <c r="W116" s="155">
        <f t="shared" si="241"/>
        <v>39388.49</v>
      </c>
      <c r="X116" s="155">
        <f t="shared" si="241"/>
        <v>39388.49</v>
      </c>
      <c r="Y116" s="155">
        <f t="shared" si="241"/>
        <v>39388.49</v>
      </c>
      <c r="Z116" s="155">
        <f t="shared" si="241"/>
        <v>39388.49</v>
      </c>
      <c r="AA116" s="184">
        <f t="shared" si="218"/>
        <v>39388.49</v>
      </c>
      <c r="AB116" s="155">
        <f t="shared" ref="AB116:AM116" si="242">+AA116+SUMIF($B$332:$B$370,$A116,AB$332:AB$370)</f>
        <v>39388.49</v>
      </c>
      <c r="AC116" s="155">
        <f t="shared" si="242"/>
        <v>39388.49</v>
      </c>
      <c r="AD116" s="155">
        <f t="shared" si="242"/>
        <v>39388.49</v>
      </c>
      <c r="AE116" s="155">
        <f t="shared" si="242"/>
        <v>39388.49</v>
      </c>
      <c r="AF116" s="155">
        <f t="shared" si="242"/>
        <v>39388.49</v>
      </c>
      <c r="AG116" s="155">
        <f t="shared" si="242"/>
        <v>39388.49</v>
      </c>
      <c r="AH116" s="155">
        <f t="shared" si="242"/>
        <v>39388.49</v>
      </c>
      <c r="AI116" s="155">
        <f t="shared" si="242"/>
        <v>39388.49</v>
      </c>
      <c r="AJ116" s="155">
        <f t="shared" si="242"/>
        <v>39388.49</v>
      </c>
      <c r="AK116" s="155">
        <f t="shared" si="242"/>
        <v>39388.49</v>
      </c>
      <c r="AL116" s="155">
        <f t="shared" si="242"/>
        <v>39388.49</v>
      </c>
      <c r="AM116" s="155">
        <f t="shared" si="242"/>
        <v>39388.49</v>
      </c>
      <c r="AN116" s="184">
        <f t="shared" si="220"/>
        <v>39388.49</v>
      </c>
      <c r="AO116" s="155"/>
      <c r="AQ116" s="155">
        <f t="shared" si="213"/>
        <v>39388.49</v>
      </c>
      <c r="AR116" s="155">
        <f t="shared" si="214"/>
        <v>0</v>
      </c>
      <c r="AS116" s="155">
        <f t="shared" si="214"/>
        <v>0</v>
      </c>
      <c r="AT116" s="155">
        <f t="shared" si="214"/>
        <v>0</v>
      </c>
      <c r="AU116" s="155">
        <f t="shared" si="214"/>
        <v>0</v>
      </c>
      <c r="AV116" s="155">
        <f t="shared" si="214"/>
        <v>0</v>
      </c>
      <c r="AW116" s="155">
        <f t="shared" si="214"/>
        <v>0</v>
      </c>
      <c r="AX116" s="155">
        <f t="shared" si="214"/>
        <v>0</v>
      </c>
      <c r="AY116" s="155">
        <f t="shared" si="214"/>
        <v>0</v>
      </c>
      <c r="AZ116" s="155">
        <f t="shared" si="214"/>
        <v>0</v>
      </c>
      <c r="BA116" s="155">
        <f t="shared" si="214"/>
        <v>0</v>
      </c>
      <c r="BB116" s="155">
        <f t="shared" si="214"/>
        <v>0</v>
      </c>
      <c r="BC116" s="155">
        <f t="shared" si="214"/>
        <v>0</v>
      </c>
      <c r="BD116" s="155">
        <f t="shared" si="215"/>
        <v>39388.49</v>
      </c>
      <c r="BE116" s="155">
        <f t="shared" si="216"/>
        <v>39388.49</v>
      </c>
    </row>
    <row r="117" spans="1:57" x14ac:dyDescent="0.15">
      <c r="A117" s="39" t="s">
        <v>51</v>
      </c>
      <c r="G117" s="155">
        <v>-1563453.61</v>
      </c>
      <c r="H117" s="155">
        <f t="shared" si="236"/>
        <v>-1563453.61</v>
      </c>
      <c r="I117" s="155">
        <f t="shared" si="236"/>
        <v>-1563453.61</v>
      </c>
      <c r="J117" s="155">
        <f t="shared" si="236"/>
        <v>-1976891.5221736266</v>
      </c>
      <c r="K117" s="155">
        <f t="shared" si="236"/>
        <v>-1976891.5221736266</v>
      </c>
      <c r="L117" s="155">
        <f t="shared" si="236"/>
        <v>-1976891.5221736266</v>
      </c>
      <c r="M117" s="155">
        <f t="shared" si="236"/>
        <v>-2390329.4343472533</v>
      </c>
      <c r="N117" s="184">
        <f t="shared" si="209"/>
        <v>-2390329.4343472533</v>
      </c>
      <c r="O117" s="155">
        <f t="shared" si="210"/>
        <v>-2390329.4343472533</v>
      </c>
      <c r="P117" s="155">
        <f t="shared" ref="P117:Z117" si="243">+O117+SUMIF($B$332:$B$370,$A117,P$332:P$370)</f>
        <v>-2390329.4343472533</v>
      </c>
      <c r="Q117" s="155">
        <f t="shared" si="243"/>
        <v>-2774467.8617639849</v>
      </c>
      <c r="R117" s="155">
        <f t="shared" si="243"/>
        <v>-2774467.8617639849</v>
      </c>
      <c r="S117" s="155">
        <f t="shared" si="243"/>
        <v>-2774467.8617639849</v>
      </c>
      <c r="T117" s="155">
        <f t="shared" si="243"/>
        <v>-3158606.2891807165</v>
      </c>
      <c r="U117" s="155">
        <f t="shared" si="243"/>
        <v>-3158606.2891807165</v>
      </c>
      <c r="V117" s="155">
        <f t="shared" si="243"/>
        <v>-3158606.2891807165</v>
      </c>
      <c r="W117" s="155">
        <f t="shared" si="243"/>
        <v>-3542744.7165974481</v>
      </c>
      <c r="X117" s="155">
        <f t="shared" si="243"/>
        <v>-3542744.7165974481</v>
      </c>
      <c r="Y117" s="155">
        <f t="shared" si="243"/>
        <v>-3542744.7165974481</v>
      </c>
      <c r="Z117" s="155">
        <f t="shared" si="243"/>
        <v>-3926883.1440141797</v>
      </c>
      <c r="AA117" s="184">
        <f t="shared" si="218"/>
        <v>-3926883.1440141797</v>
      </c>
      <c r="AB117" s="155">
        <f t="shared" ref="AB117:AM117" si="244">+AA117+SUMIF($B$332:$B$370,$A117,AB$332:AB$370)</f>
        <v>-3926883.1440141797</v>
      </c>
      <c r="AC117" s="155">
        <f t="shared" si="244"/>
        <v>-3926883.1440141797</v>
      </c>
      <c r="AD117" s="155">
        <f t="shared" si="244"/>
        <v>-4175759.8808230059</v>
      </c>
      <c r="AE117" s="155">
        <f t="shared" si="244"/>
        <v>-4175759.8808230059</v>
      </c>
      <c r="AF117" s="155">
        <f t="shared" si="244"/>
        <v>-4175759.8808230059</v>
      </c>
      <c r="AG117" s="155">
        <f t="shared" si="244"/>
        <v>-4424636.6176318321</v>
      </c>
      <c r="AH117" s="155">
        <f t="shared" si="244"/>
        <v>-4424636.6176318321</v>
      </c>
      <c r="AI117" s="155">
        <f t="shared" si="244"/>
        <v>-4424636.6176318321</v>
      </c>
      <c r="AJ117" s="155">
        <f t="shared" si="244"/>
        <v>-4673513.3544406584</v>
      </c>
      <c r="AK117" s="155">
        <f t="shared" si="244"/>
        <v>-4673513.3544406584</v>
      </c>
      <c r="AL117" s="155">
        <f t="shared" si="244"/>
        <v>-4673513.3544406584</v>
      </c>
      <c r="AM117" s="155">
        <f t="shared" si="244"/>
        <v>-4922390.0912494846</v>
      </c>
      <c r="AN117" s="184">
        <f t="shared" si="220"/>
        <v>-4922390.0912494846</v>
      </c>
      <c r="AO117" s="155"/>
      <c r="AQ117" s="155">
        <f t="shared" si="213"/>
        <v>-2774467.8617639849</v>
      </c>
      <c r="AR117" s="155">
        <f t="shared" si="214"/>
        <v>-107176.44438008494</v>
      </c>
      <c r="AS117" s="155">
        <f t="shared" si="214"/>
        <v>-97258.624153868135</v>
      </c>
      <c r="AT117" s="155">
        <f t="shared" si="214"/>
        <v>-87660.733612367985</v>
      </c>
      <c r="AU117" s="155">
        <f t="shared" si="214"/>
        <v>-77742.91338615118</v>
      </c>
      <c r="AV117" s="155">
        <f t="shared" si="214"/>
        <v>-68145.02284465103</v>
      </c>
      <c r="AW117" s="155">
        <f t="shared" si="214"/>
        <v>-58227.20261843421</v>
      </c>
      <c r="AX117" s="155">
        <f t="shared" si="214"/>
        <v>-48309.382392217398</v>
      </c>
      <c r="AY117" s="155">
        <f t="shared" si="214"/>
        <v>-39351.351220150595</v>
      </c>
      <c r="AZ117" s="155">
        <f t="shared" si="214"/>
        <v>-29433.530993933779</v>
      </c>
      <c r="BA117" s="155">
        <f t="shared" si="214"/>
        <v>-19835.640452433632</v>
      </c>
      <c r="BB117" s="155">
        <f t="shared" si="214"/>
        <v>-9917.8202262168161</v>
      </c>
      <c r="BC117" s="155">
        <f t="shared" si="214"/>
        <v>-319.92968471667149</v>
      </c>
      <c r="BD117" s="155">
        <f t="shared" si="215"/>
        <v>-4175759.8808230059</v>
      </c>
      <c r="BE117" s="155">
        <f t="shared" si="216"/>
        <v>-3417846.4577292115</v>
      </c>
    </row>
    <row r="118" spans="1:57" x14ac:dyDescent="0.15">
      <c r="A118" s="39" t="s">
        <v>52</v>
      </c>
      <c r="G118" s="155">
        <v>0</v>
      </c>
      <c r="H118" s="155">
        <f t="shared" si="236"/>
        <v>0</v>
      </c>
      <c r="I118" s="155">
        <f t="shared" si="236"/>
        <v>0</v>
      </c>
      <c r="J118" s="155">
        <f t="shared" si="236"/>
        <v>0</v>
      </c>
      <c r="K118" s="155">
        <f t="shared" si="236"/>
        <v>0</v>
      </c>
      <c r="L118" s="155">
        <f t="shared" si="236"/>
        <v>0</v>
      </c>
      <c r="M118" s="155">
        <f t="shared" si="236"/>
        <v>0</v>
      </c>
      <c r="N118" s="184">
        <f t="shared" si="209"/>
        <v>0</v>
      </c>
      <c r="O118" s="155">
        <f t="shared" si="210"/>
        <v>0</v>
      </c>
      <c r="P118" s="155">
        <f t="shared" ref="P118:Z118" si="245">+O118+SUMIF($B$332:$B$370,$A118,P$332:P$370)</f>
        <v>0</v>
      </c>
      <c r="Q118" s="155">
        <f t="shared" si="245"/>
        <v>0</v>
      </c>
      <c r="R118" s="155">
        <f t="shared" si="245"/>
        <v>0</v>
      </c>
      <c r="S118" s="155">
        <f t="shared" si="245"/>
        <v>0</v>
      </c>
      <c r="T118" s="155">
        <f t="shared" si="245"/>
        <v>0</v>
      </c>
      <c r="U118" s="155">
        <f t="shared" si="245"/>
        <v>0</v>
      </c>
      <c r="V118" s="155">
        <f t="shared" si="245"/>
        <v>0</v>
      </c>
      <c r="W118" s="155">
        <f t="shared" si="245"/>
        <v>0</v>
      </c>
      <c r="X118" s="155">
        <f t="shared" si="245"/>
        <v>0</v>
      </c>
      <c r="Y118" s="155">
        <f t="shared" si="245"/>
        <v>0</v>
      </c>
      <c r="Z118" s="155">
        <f t="shared" si="245"/>
        <v>0</v>
      </c>
      <c r="AA118" s="184">
        <f t="shared" si="218"/>
        <v>0</v>
      </c>
      <c r="AB118" s="155">
        <f t="shared" ref="AB118:AM118" si="246">+AA118+SUMIF($B$332:$B$370,$A118,AB$332:AB$370)</f>
        <v>0</v>
      </c>
      <c r="AC118" s="155">
        <f t="shared" si="246"/>
        <v>0</v>
      </c>
      <c r="AD118" s="155">
        <f t="shared" si="246"/>
        <v>0</v>
      </c>
      <c r="AE118" s="155">
        <f t="shared" si="246"/>
        <v>0</v>
      </c>
      <c r="AF118" s="155">
        <f t="shared" si="246"/>
        <v>0</v>
      </c>
      <c r="AG118" s="155">
        <f t="shared" si="246"/>
        <v>0</v>
      </c>
      <c r="AH118" s="155">
        <f t="shared" si="246"/>
        <v>0</v>
      </c>
      <c r="AI118" s="155">
        <f t="shared" si="246"/>
        <v>0</v>
      </c>
      <c r="AJ118" s="155">
        <f t="shared" si="246"/>
        <v>0</v>
      </c>
      <c r="AK118" s="155">
        <f t="shared" si="246"/>
        <v>0</v>
      </c>
      <c r="AL118" s="155">
        <f t="shared" si="246"/>
        <v>0</v>
      </c>
      <c r="AM118" s="155">
        <f t="shared" si="246"/>
        <v>0</v>
      </c>
      <c r="AN118" s="184">
        <f t="shared" si="220"/>
        <v>0</v>
      </c>
      <c r="AO118" s="155"/>
      <c r="AQ118" s="155">
        <f t="shared" si="213"/>
        <v>0</v>
      </c>
      <c r="AR118" s="155">
        <f t="shared" si="214"/>
        <v>0</v>
      </c>
      <c r="AS118" s="155">
        <f t="shared" si="214"/>
        <v>0</v>
      </c>
      <c r="AT118" s="155">
        <f t="shared" si="214"/>
        <v>0</v>
      </c>
      <c r="AU118" s="155">
        <f t="shared" si="214"/>
        <v>0</v>
      </c>
      <c r="AV118" s="155">
        <f t="shared" si="214"/>
        <v>0</v>
      </c>
      <c r="AW118" s="155">
        <f t="shared" si="214"/>
        <v>0</v>
      </c>
      <c r="AX118" s="155">
        <f t="shared" si="214"/>
        <v>0</v>
      </c>
      <c r="AY118" s="155">
        <f t="shared" si="214"/>
        <v>0</v>
      </c>
      <c r="AZ118" s="155">
        <f t="shared" si="214"/>
        <v>0</v>
      </c>
      <c r="BA118" s="155">
        <f t="shared" si="214"/>
        <v>0</v>
      </c>
      <c r="BB118" s="155">
        <f t="shared" si="214"/>
        <v>0</v>
      </c>
      <c r="BC118" s="155">
        <f t="shared" si="214"/>
        <v>0</v>
      </c>
      <c r="BD118" s="155">
        <f t="shared" si="215"/>
        <v>0</v>
      </c>
      <c r="BE118" s="155">
        <f t="shared" si="216"/>
        <v>0</v>
      </c>
    </row>
    <row r="119" spans="1:57" x14ac:dyDescent="0.15">
      <c r="A119" s="39" t="s">
        <v>53</v>
      </c>
      <c r="G119" s="155">
        <v>133410.31</v>
      </c>
      <c r="H119" s="155">
        <f t="shared" si="236"/>
        <v>133410.31</v>
      </c>
      <c r="I119" s="155">
        <f t="shared" si="236"/>
        <v>133410.31</v>
      </c>
      <c r="J119" s="155">
        <f t="shared" si="236"/>
        <v>152987.94340322498</v>
      </c>
      <c r="K119" s="155">
        <f t="shared" si="236"/>
        <v>152987.94340322498</v>
      </c>
      <c r="L119" s="155">
        <f t="shared" si="236"/>
        <v>152987.94340322498</v>
      </c>
      <c r="M119" s="155">
        <f t="shared" si="236"/>
        <v>172565.57680644997</v>
      </c>
      <c r="N119" s="184">
        <f t="shared" si="209"/>
        <v>172565.57680644997</v>
      </c>
      <c r="O119" s="155">
        <f t="shared" si="210"/>
        <v>172565.57680644997</v>
      </c>
      <c r="P119" s="155">
        <f t="shared" ref="P119:Z119" si="247">+O119+SUMIF($B$332:$B$370,$A119,P$332:P$370)</f>
        <v>172565.57680644997</v>
      </c>
      <c r="Q119" s="155">
        <f t="shared" si="247"/>
        <v>147087.52347954997</v>
      </c>
      <c r="R119" s="155">
        <f t="shared" si="247"/>
        <v>147087.52347954997</v>
      </c>
      <c r="S119" s="155">
        <f t="shared" si="247"/>
        <v>147087.52347954997</v>
      </c>
      <c r="T119" s="155">
        <f t="shared" si="247"/>
        <v>121609.47015264997</v>
      </c>
      <c r="U119" s="155">
        <f t="shared" si="247"/>
        <v>121609.47015264997</v>
      </c>
      <c r="V119" s="155">
        <f t="shared" si="247"/>
        <v>121609.47015264997</v>
      </c>
      <c r="W119" s="155">
        <f t="shared" si="247"/>
        <v>96131.41682574997</v>
      </c>
      <c r="X119" s="155">
        <f t="shared" si="247"/>
        <v>96131.41682574997</v>
      </c>
      <c r="Y119" s="155">
        <f t="shared" si="247"/>
        <v>96131.41682574997</v>
      </c>
      <c r="Z119" s="155">
        <f t="shared" si="247"/>
        <v>70653.363498849969</v>
      </c>
      <c r="AA119" s="184">
        <f t="shared" si="218"/>
        <v>70653.363498849969</v>
      </c>
      <c r="AB119" s="155">
        <f t="shared" ref="AB119:AM119" si="248">+AA119+SUMIF($B$332:$B$370,$A119,AB$332:AB$370)</f>
        <v>70653.363498849969</v>
      </c>
      <c r="AC119" s="155">
        <f t="shared" si="248"/>
        <v>70653.363498849969</v>
      </c>
      <c r="AD119" s="155">
        <f t="shared" si="248"/>
        <v>70653.363498849969</v>
      </c>
      <c r="AE119" s="155">
        <f t="shared" si="248"/>
        <v>70653.363498849969</v>
      </c>
      <c r="AF119" s="155">
        <f t="shared" si="248"/>
        <v>70653.363498849969</v>
      </c>
      <c r="AG119" s="155">
        <f t="shared" si="248"/>
        <v>70653.363498849969</v>
      </c>
      <c r="AH119" s="155">
        <f t="shared" si="248"/>
        <v>70653.363498849969</v>
      </c>
      <c r="AI119" s="155">
        <f t="shared" si="248"/>
        <v>70653.363498849969</v>
      </c>
      <c r="AJ119" s="155">
        <f t="shared" si="248"/>
        <v>70653.363498849969</v>
      </c>
      <c r="AK119" s="155">
        <f t="shared" si="248"/>
        <v>70653.363498849969</v>
      </c>
      <c r="AL119" s="155">
        <f t="shared" si="248"/>
        <v>70653.363498849969</v>
      </c>
      <c r="AM119" s="155">
        <f t="shared" si="248"/>
        <v>70653.363498849969</v>
      </c>
      <c r="AN119" s="184">
        <f t="shared" si="220"/>
        <v>70653.363498849969</v>
      </c>
      <c r="AO119" s="155"/>
      <c r="AQ119" s="155">
        <f t="shared" si="213"/>
        <v>147087.52347954997</v>
      </c>
      <c r="AR119" s="155">
        <f t="shared" si="214"/>
        <v>-5845.9916880215751</v>
      </c>
      <c r="AS119" s="155">
        <f t="shared" si="214"/>
        <v>-5305.0193228613698</v>
      </c>
      <c r="AT119" s="155">
        <f t="shared" si="214"/>
        <v>-4781.4976791579456</v>
      </c>
      <c r="AU119" s="155">
        <f t="shared" si="214"/>
        <v>-4240.5253139977403</v>
      </c>
      <c r="AV119" s="155">
        <f t="shared" si="214"/>
        <v>-3717.0036702943153</v>
      </c>
      <c r="AW119" s="155">
        <f t="shared" si="214"/>
        <v>-3176.0313051341095</v>
      </c>
      <c r="AX119" s="155">
        <f t="shared" si="214"/>
        <v>-2635.0589399739042</v>
      </c>
      <c r="AY119" s="155">
        <f t="shared" si="214"/>
        <v>-2146.438739184041</v>
      </c>
      <c r="AZ119" s="155">
        <f t="shared" si="214"/>
        <v>-1605.4663740238357</v>
      </c>
      <c r="BA119" s="155">
        <f t="shared" si="214"/>
        <v>-1081.9447303204111</v>
      </c>
      <c r="BB119" s="155">
        <f t="shared" si="214"/>
        <v>-540.97236516020553</v>
      </c>
      <c r="BC119" s="155">
        <f t="shared" si="214"/>
        <v>-17.450721456780823</v>
      </c>
      <c r="BD119" s="155">
        <f t="shared" si="215"/>
        <v>70653.363498849969</v>
      </c>
      <c r="BE119" s="155">
        <f t="shared" si="216"/>
        <v>111994.12262996373</v>
      </c>
    </row>
    <row r="120" spans="1:57" x14ac:dyDescent="0.15">
      <c r="A120" s="39" t="s">
        <v>54</v>
      </c>
      <c r="G120" s="155">
        <v>-136881.95000000001</v>
      </c>
      <c r="H120" s="155">
        <f t="shared" si="236"/>
        <v>-136881.95000000001</v>
      </c>
      <c r="I120" s="155">
        <f t="shared" si="236"/>
        <v>-136881.95000000001</v>
      </c>
      <c r="J120" s="155">
        <f t="shared" si="236"/>
        <v>-136881.95000000001</v>
      </c>
      <c r="K120" s="155">
        <f t="shared" si="236"/>
        <v>-136881.95000000001</v>
      </c>
      <c r="L120" s="155">
        <f t="shared" si="236"/>
        <v>-136881.95000000001</v>
      </c>
      <c r="M120" s="155">
        <f t="shared" si="236"/>
        <v>-136881.95000000001</v>
      </c>
      <c r="N120" s="184">
        <f t="shared" si="209"/>
        <v>-136881.95000000001</v>
      </c>
      <c r="O120" s="155">
        <f t="shared" si="210"/>
        <v>-136881.95000000001</v>
      </c>
      <c r="P120" s="155">
        <f t="shared" ref="P120:Z120" si="249">+O120+SUMIF($B$332:$B$370,$A120,P$332:P$370)</f>
        <v>-136881.95000000001</v>
      </c>
      <c r="Q120" s="155">
        <f t="shared" si="249"/>
        <v>-136881.95000000001</v>
      </c>
      <c r="R120" s="155">
        <f t="shared" si="249"/>
        <v>-136881.95000000001</v>
      </c>
      <c r="S120" s="155">
        <f t="shared" si="249"/>
        <v>-136881.95000000001</v>
      </c>
      <c r="T120" s="155">
        <f t="shared" si="249"/>
        <v>-136881.95000000001</v>
      </c>
      <c r="U120" s="155">
        <f t="shared" si="249"/>
        <v>-136881.95000000001</v>
      </c>
      <c r="V120" s="155">
        <f t="shared" si="249"/>
        <v>-136881.95000000001</v>
      </c>
      <c r="W120" s="155">
        <f t="shared" si="249"/>
        <v>-136881.95000000001</v>
      </c>
      <c r="X120" s="155">
        <f t="shared" si="249"/>
        <v>-136881.95000000001</v>
      </c>
      <c r="Y120" s="155">
        <f t="shared" si="249"/>
        <v>-136881.95000000001</v>
      </c>
      <c r="Z120" s="155">
        <f t="shared" si="249"/>
        <v>-136881.95000000001</v>
      </c>
      <c r="AA120" s="184">
        <f t="shared" si="218"/>
        <v>-136881.95000000001</v>
      </c>
      <c r="AB120" s="155">
        <f t="shared" ref="AB120:AM120" si="250">+AA120+SUMIF($B$332:$B$370,$A120,AB$332:AB$370)</f>
        <v>-136881.95000000001</v>
      </c>
      <c r="AC120" s="155">
        <f t="shared" si="250"/>
        <v>-136881.95000000001</v>
      </c>
      <c r="AD120" s="155">
        <f t="shared" si="250"/>
        <v>-136881.95000000001</v>
      </c>
      <c r="AE120" s="155">
        <f t="shared" si="250"/>
        <v>-136881.95000000001</v>
      </c>
      <c r="AF120" s="155">
        <f t="shared" si="250"/>
        <v>-136881.95000000001</v>
      </c>
      <c r="AG120" s="155">
        <f t="shared" si="250"/>
        <v>-136881.95000000001</v>
      </c>
      <c r="AH120" s="155">
        <f t="shared" si="250"/>
        <v>-136881.95000000001</v>
      </c>
      <c r="AI120" s="155">
        <f t="shared" si="250"/>
        <v>-136881.95000000001</v>
      </c>
      <c r="AJ120" s="155">
        <f t="shared" si="250"/>
        <v>-136881.95000000001</v>
      </c>
      <c r="AK120" s="155">
        <f t="shared" si="250"/>
        <v>-136881.95000000001</v>
      </c>
      <c r="AL120" s="155">
        <f t="shared" si="250"/>
        <v>-136881.95000000001</v>
      </c>
      <c r="AM120" s="155">
        <f t="shared" si="250"/>
        <v>-136881.95000000001</v>
      </c>
      <c r="AN120" s="184">
        <f t="shared" si="220"/>
        <v>-136881.95000000001</v>
      </c>
      <c r="AO120" s="155"/>
      <c r="AQ120" s="155">
        <f t="shared" si="213"/>
        <v>-136881.95000000001</v>
      </c>
      <c r="AR120" s="155">
        <f t="shared" si="214"/>
        <v>0</v>
      </c>
      <c r="AS120" s="155">
        <f t="shared" si="214"/>
        <v>0</v>
      </c>
      <c r="AT120" s="155">
        <f t="shared" si="214"/>
        <v>0</v>
      </c>
      <c r="AU120" s="155">
        <f t="shared" si="214"/>
        <v>0</v>
      </c>
      <c r="AV120" s="155">
        <f t="shared" si="214"/>
        <v>0</v>
      </c>
      <c r="AW120" s="155">
        <f t="shared" si="214"/>
        <v>0</v>
      </c>
      <c r="AX120" s="155">
        <f t="shared" si="214"/>
        <v>0</v>
      </c>
      <c r="AY120" s="155">
        <f t="shared" si="214"/>
        <v>0</v>
      </c>
      <c r="AZ120" s="155">
        <f t="shared" si="214"/>
        <v>0</v>
      </c>
      <c r="BA120" s="155">
        <f t="shared" si="214"/>
        <v>0</v>
      </c>
      <c r="BB120" s="155">
        <f t="shared" si="214"/>
        <v>0</v>
      </c>
      <c r="BC120" s="155">
        <f t="shared" si="214"/>
        <v>0</v>
      </c>
      <c r="BD120" s="155">
        <f t="shared" si="215"/>
        <v>-136881.95000000001</v>
      </c>
      <c r="BE120" s="155">
        <f t="shared" si="216"/>
        <v>-136881.95000000001</v>
      </c>
    </row>
    <row r="121" spans="1:57" x14ac:dyDescent="0.15">
      <c r="A121" s="39" t="s">
        <v>55</v>
      </c>
      <c r="G121" s="155">
        <f>-195242439.55-1604391</f>
        <v>-196846830.55000001</v>
      </c>
      <c r="H121" s="155">
        <f t="shared" si="236"/>
        <v>-196846830.55000001</v>
      </c>
      <c r="I121" s="155">
        <f t="shared" si="236"/>
        <v>-196846830.55000001</v>
      </c>
      <c r="J121" s="155">
        <f t="shared" si="236"/>
        <v>-196583615.93640274</v>
      </c>
      <c r="K121" s="155">
        <f t="shared" si="236"/>
        <v>-196583615.93640274</v>
      </c>
      <c r="L121" s="155">
        <f t="shared" si="236"/>
        <v>-196583615.93640274</v>
      </c>
      <c r="M121" s="155">
        <f t="shared" si="236"/>
        <v>-196226550.7030479</v>
      </c>
      <c r="N121" s="184">
        <f t="shared" si="209"/>
        <v>-196226550.7030479</v>
      </c>
      <c r="O121" s="155">
        <f t="shared" si="210"/>
        <v>-196226550.7030479</v>
      </c>
      <c r="P121" s="155">
        <f t="shared" ref="P121:Z121" si="251">+O121+SUMIF($B$332:$B$370,$A121,P$332:P$370)</f>
        <v>-196226550.7030479</v>
      </c>
      <c r="Q121" s="155">
        <f t="shared" si="251"/>
        <v>-195744275.07860044</v>
      </c>
      <c r="R121" s="155">
        <f t="shared" si="251"/>
        <v>-195580447.1838226</v>
      </c>
      <c r="S121" s="155">
        <f t="shared" si="251"/>
        <v>-195580447.1838226</v>
      </c>
      <c r="T121" s="155">
        <f t="shared" si="251"/>
        <v>-195259266.30139962</v>
      </c>
      <c r="U121" s="155">
        <f t="shared" si="251"/>
        <v>-195259266.30139962</v>
      </c>
      <c r="V121" s="155">
        <f t="shared" si="251"/>
        <v>-195259266.30139962</v>
      </c>
      <c r="W121" s="155">
        <f t="shared" si="251"/>
        <v>-194772890.85050842</v>
      </c>
      <c r="X121" s="155">
        <f t="shared" si="251"/>
        <v>-194772890.85050842</v>
      </c>
      <c r="Y121" s="155">
        <f t="shared" si="251"/>
        <v>-194772890.85050842</v>
      </c>
      <c r="Z121" s="155">
        <f t="shared" si="251"/>
        <v>-194286515.39961722</v>
      </c>
      <c r="AA121" s="184">
        <f t="shared" si="218"/>
        <v>-194286515.39961722</v>
      </c>
      <c r="AB121" s="155">
        <f t="shared" ref="AB121:AM121" si="252">+AA121+SUMIF($B$332:$B$370,$A121,AB$332:AB$370)</f>
        <v>-194286515.39961722</v>
      </c>
      <c r="AC121" s="155">
        <f t="shared" si="252"/>
        <v>-194286515.39961722</v>
      </c>
      <c r="AD121" s="155">
        <f t="shared" si="252"/>
        <v>-193761634.80306041</v>
      </c>
      <c r="AE121" s="155">
        <f t="shared" si="252"/>
        <v>-193585471.5838744</v>
      </c>
      <c r="AF121" s="155">
        <f t="shared" si="252"/>
        <v>-193585471.5838744</v>
      </c>
      <c r="AG121" s="155">
        <f t="shared" si="252"/>
        <v>-193236754.20650357</v>
      </c>
      <c r="AH121" s="155">
        <f t="shared" si="252"/>
        <v>-193236754.20650357</v>
      </c>
      <c r="AI121" s="155">
        <f t="shared" si="252"/>
        <v>-193236754.20650357</v>
      </c>
      <c r="AJ121" s="155">
        <f t="shared" si="252"/>
        <v>-192711873.60994676</v>
      </c>
      <c r="AK121" s="155">
        <f t="shared" si="252"/>
        <v>-192711873.60994676</v>
      </c>
      <c r="AL121" s="155">
        <f t="shared" si="252"/>
        <v>-192711873.60994676</v>
      </c>
      <c r="AM121" s="155">
        <f t="shared" si="252"/>
        <v>-192186993.01338995</v>
      </c>
      <c r="AN121" s="184">
        <f t="shared" si="220"/>
        <v>-192186993.01338995</v>
      </c>
      <c r="AO121" s="155"/>
      <c r="AQ121" s="155">
        <f t="shared" si="213"/>
        <v>-195580447.1838226</v>
      </c>
      <c r="AR121" s="155">
        <f t="shared" si="214"/>
        <v>152583.75022434845</v>
      </c>
      <c r="AS121" s="155">
        <f t="shared" si="214"/>
        <v>138464.05990508039</v>
      </c>
      <c r="AT121" s="155">
        <f t="shared" si="214"/>
        <v>124799.84346707903</v>
      </c>
      <c r="AU121" s="155">
        <f t="shared" si="214"/>
        <v>110680.15314781097</v>
      </c>
      <c r="AV121" s="155">
        <f t="shared" si="214"/>
        <v>97015.936709809612</v>
      </c>
      <c r="AW121" s="155">
        <f t="shared" si="214"/>
        <v>82896.246390541535</v>
      </c>
      <c r="AX121" s="155">
        <f t="shared" si="214"/>
        <v>68776.556071273473</v>
      </c>
      <c r="AY121" s="155">
        <f t="shared" si="214"/>
        <v>56023.28739580555</v>
      </c>
      <c r="AZ121" s="155">
        <f t="shared" si="214"/>
        <v>41903.597076537488</v>
      </c>
      <c r="BA121" s="155">
        <f t="shared" si="214"/>
        <v>28239.380638536128</v>
      </c>
      <c r="BB121" s="155">
        <f t="shared" si="214"/>
        <v>14119.690319268064</v>
      </c>
      <c r="BC121" s="155">
        <f t="shared" si="214"/>
        <v>455.47388126671177</v>
      </c>
      <c r="BD121" s="155">
        <f t="shared" si="215"/>
        <v>-193585471.5838744</v>
      </c>
      <c r="BE121" s="155">
        <f t="shared" si="216"/>
        <v>-194664489.20859519</v>
      </c>
    </row>
    <row r="122" spans="1:57" x14ac:dyDescent="0.15">
      <c r="A122" s="39" t="s">
        <v>56</v>
      </c>
      <c r="G122" s="155">
        <v>-17204296.050000001</v>
      </c>
      <c r="H122" s="155">
        <f t="shared" si="236"/>
        <v>-17204296.050000001</v>
      </c>
      <c r="I122" s="155">
        <f t="shared" si="236"/>
        <v>-17204296.050000001</v>
      </c>
      <c r="J122" s="155">
        <f t="shared" si="236"/>
        <v>-17155699.083239965</v>
      </c>
      <c r="K122" s="155">
        <f t="shared" si="236"/>
        <v>-17155699.083239965</v>
      </c>
      <c r="L122" s="155">
        <f t="shared" si="236"/>
        <v>-17155699.083239965</v>
      </c>
      <c r="M122" s="155">
        <f t="shared" si="236"/>
        <v>-17112658.032457802</v>
      </c>
      <c r="N122" s="184">
        <f t="shared" si="209"/>
        <v>-17112658.032457802</v>
      </c>
      <c r="O122" s="155">
        <f t="shared" si="210"/>
        <v>-17112658.032457802</v>
      </c>
      <c r="P122" s="155">
        <f t="shared" ref="P122:Z122" si="253">+O122+SUMIF($B$332:$B$370,$A122,P$332:P$370)</f>
        <v>-17112658.032457802</v>
      </c>
      <c r="Q122" s="155">
        <f t="shared" si="253"/>
        <v>-17055893.348216411</v>
      </c>
      <c r="R122" s="155">
        <f t="shared" si="253"/>
        <v>-17055893.348216411</v>
      </c>
      <c r="S122" s="155">
        <f t="shared" si="253"/>
        <v>-17055893.348216411</v>
      </c>
      <c r="T122" s="155">
        <f t="shared" si="253"/>
        <v>-16999128.663975019</v>
      </c>
      <c r="U122" s="155">
        <f t="shared" si="253"/>
        <v>-16999128.663975019</v>
      </c>
      <c r="V122" s="155">
        <f t="shared" si="253"/>
        <v>-16999128.663975019</v>
      </c>
      <c r="W122" s="155">
        <f t="shared" si="253"/>
        <v>-16942363.979733627</v>
      </c>
      <c r="X122" s="155">
        <f t="shared" si="253"/>
        <v>-16942363.979733627</v>
      </c>
      <c r="Y122" s="155">
        <f t="shared" si="253"/>
        <v>-16942363.979733627</v>
      </c>
      <c r="Z122" s="155">
        <f t="shared" si="253"/>
        <v>-16885599.295492236</v>
      </c>
      <c r="AA122" s="184">
        <f t="shared" si="218"/>
        <v>-16885599.295492236</v>
      </c>
      <c r="AB122" s="155">
        <f t="shared" ref="AB122:AM122" si="254">+AA122+SUMIF($B$332:$B$370,$A122,AB$332:AB$370)</f>
        <v>-16885599.295492236</v>
      </c>
      <c r="AC122" s="155">
        <f t="shared" si="254"/>
        <v>-16885599.295492236</v>
      </c>
      <c r="AD122" s="155">
        <f t="shared" si="254"/>
        <v>-16831811.562247872</v>
      </c>
      <c r="AE122" s="155">
        <f t="shared" si="254"/>
        <v>-16831811.562247872</v>
      </c>
      <c r="AF122" s="155">
        <f t="shared" si="254"/>
        <v>-16831811.562247872</v>
      </c>
      <c r="AG122" s="155">
        <f t="shared" si="254"/>
        <v>-16778023.829003509</v>
      </c>
      <c r="AH122" s="155">
        <f t="shared" si="254"/>
        <v>-16778023.829003509</v>
      </c>
      <c r="AI122" s="155">
        <f t="shared" si="254"/>
        <v>-16778023.829003509</v>
      </c>
      <c r="AJ122" s="155">
        <f t="shared" si="254"/>
        <v>-16724236.095759146</v>
      </c>
      <c r="AK122" s="155">
        <f t="shared" si="254"/>
        <v>-16724236.095759146</v>
      </c>
      <c r="AL122" s="155">
        <f t="shared" si="254"/>
        <v>-16724236.095759146</v>
      </c>
      <c r="AM122" s="155">
        <f t="shared" si="254"/>
        <v>-16670448.362514783</v>
      </c>
      <c r="AN122" s="184">
        <f t="shared" si="220"/>
        <v>-16670448.362514783</v>
      </c>
      <c r="AO122" s="155"/>
      <c r="AQ122" s="155">
        <f t="shared" si="213"/>
        <v>-17055893.348216411</v>
      </c>
      <c r="AR122" s="155">
        <f t="shared" si="214"/>
        <v>17138.675410835698</v>
      </c>
      <c r="AS122" s="155">
        <f t="shared" si="214"/>
        <v>15552.708432519559</v>
      </c>
      <c r="AT122" s="155">
        <f t="shared" si="214"/>
        <v>14017.901679310391</v>
      </c>
      <c r="AU122" s="155">
        <f t="shared" si="214"/>
        <v>12431.934700994252</v>
      </c>
      <c r="AV122" s="155">
        <f t="shared" si="214"/>
        <v>10897.127947785086</v>
      </c>
      <c r="AW122" s="155">
        <f t="shared" si="214"/>
        <v>9311.1609694689469</v>
      </c>
      <c r="AX122" s="155">
        <f t="shared" si="214"/>
        <v>7725.193991152807</v>
      </c>
      <c r="AY122" s="155">
        <f t="shared" si="214"/>
        <v>6292.7076881575849</v>
      </c>
      <c r="AZ122" s="155">
        <f t="shared" si="214"/>
        <v>4706.740709841446</v>
      </c>
      <c r="BA122" s="155">
        <f t="shared" si="214"/>
        <v>3171.9339566322783</v>
      </c>
      <c r="BB122" s="155">
        <f t="shared" si="214"/>
        <v>1585.9669783161391</v>
      </c>
      <c r="BC122" s="155">
        <f t="shared" si="214"/>
        <v>51.160225106972234</v>
      </c>
      <c r="BD122" s="155">
        <f t="shared" si="215"/>
        <v>-16831811.562247872</v>
      </c>
      <c r="BE122" s="155">
        <f t="shared" si="216"/>
        <v>-16953010.135526288</v>
      </c>
    </row>
    <row r="123" spans="1:57" x14ac:dyDescent="0.15">
      <c r="A123" s="39" t="s">
        <v>60</v>
      </c>
      <c r="G123" s="155">
        <v>3043460.23</v>
      </c>
      <c r="H123" s="155">
        <f t="shared" si="236"/>
        <v>3043460.23</v>
      </c>
      <c r="I123" s="155">
        <f t="shared" si="236"/>
        <v>3043460.23</v>
      </c>
      <c r="J123" s="155">
        <f t="shared" si="236"/>
        <v>3009598.5721338</v>
      </c>
      <c r="K123" s="155">
        <f t="shared" si="236"/>
        <v>3009598.5721338</v>
      </c>
      <c r="L123" s="155">
        <f t="shared" si="236"/>
        <v>3009598.5721338</v>
      </c>
      <c r="M123" s="155">
        <f t="shared" si="236"/>
        <v>2975736.9142676</v>
      </c>
      <c r="N123" s="184">
        <f t="shared" si="209"/>
        <v>2975736.9142676</v>
      </c>
      <c r="O123" s="155">
        <f t="shared" si="210"/>
        <v>2975736.9142676</v>
      </c>
      <c r="P123" s="155">
        <f t="shared" ref="P123:Z123" si="255">+O123+SUMIF($B$332:$B$370,$A123,P$332:P$370)</f>
        <v>2975736.9142676</v>
      </c>
      <c r="Q123" s="155">
        <f t="shared" si="255"/>
        <v>2936788.9182638</v>
      </c>
      <c r="R123" s="155">
        <f t="shared" si="255"/>
        <v>2936788.9182638</v>
      </c>
      <c r="S123" s="155">
        <f t="shared" si="255"/>
        <v>2936788.9182638</v>
      </c>
      <c r="T123" s="155">
        <f t="shared" si="255"/>
        <v>2897840.9222599999</v>
      </c>
      <c r="U123" s="155">
        <f t="shared" si="255"/>
        <v>2897840.9222599999</v>
      </c>
      <c r="V123" s="155">
        <f t="shared" si="255"/>
        <v>2897840.9222599999</v>
      </c>
      <c r="W123" s="155">
        <f t="shared" si="255"/>
        <v>2858892.9262561998</v>
      </c>
      <c r="X123" s="155">
        <f t="shared" si="255"/>
        <v>2858892.9262561998</v>
      </c>
      <c r="Y123" s="155">
        <f t="shared" si="255"/>
        <v>2858892.9262561998</v>
      </c>
      <c r="Z123" s="155">
        <f t="shared" si="255"/>
        <v>2819944.9302523998</v>
      </c>
      <c r="AA123" s="184">
        <f t="shared" si="218"/>
        <v>2819944.9302523998</v>
      </c>
      <c r="AB123" s="155">
        <f t="shared" ref="AB123:AM123" si="256">+AA123+SUMIF($B$332:$B$370,$A123,AB$332:AB$370)</f>
        <v>2819944.9302523998</v>
      </c>
      <c r="AC123" s="155">
        <f t="shared" si="256"/>
        <v>2819944.9302523998</v>
      </c>
      <c r="AD123" s="155">
        <f t="shared" si="256"/>
        <v>2779643.2829266996</v>
      </c>
      <c r="AE123" s="155">
        <f t="shared" si="256"/>
        <v>2779643.2829266996</v>
      </c>
      <c r="AF123" s="155">
        <f t="shared" si="256"/>
        <v>2779643.2829266996</v>
      </c>
      <c r="AG123" s="155">
        <f t="shared" si="256"/>
        <v>2739341.6356009995</v>
      </c>
      <c r="AH123" s="155">
        <f t="shared" si="256"/>
        <v>2739341.6356009995</v>
      </c>
      <c r="AI123" s="155">
        <f t="shared" si="256"/>
        <v>2739341.6356009995</v>
      </c>
      <c r="AJ123" s="155">
        <f t="shared" si="256"/>
        <v>2699039.9882752993</v>
      </c>
      <c r="AK123" s="155">
        <f t="shared" si="256"/>
        <v>2699039.9882752993</v>
      </c>
      <c r="AL123" s="155">
        <f t="shared" si="256"/>
        <v>2699039.9882752993</v>
      </c>
      <c r="AM123" s="155">
        <f t="shared" si="256"/>
        <v>2658738.3409495992</v>
      </c>
      <c r="AN123" s="184">
        <f t="shared" si="220"/>
        <v>2658738.3409495992</v>
      </c>
      <c r="AO123" s="155"/>
      <c r="AQ123" s="155">
        <f t="shared" si="213"/>
        <v>2936788.9182638</v>
      </c>
      <c r="AR123" s="155">
        <f t="shared" si="214"/>
        <v>-12019.129643362699</v>
      </c>
      <c r="AS123" s="155">
        <f t="shared" si="214"/>
        <v>-10906.911676364958</v>
      </c>
      <c r="AT123" s="155">
        <f t="shared" si="214"/>
        <v>-9830.5717083026266</v>
      </c>
      <c r="AU123" s="155">
        <f t="shared" si="214"/>
        <v>-8718.3537413048834</v>
      </c>
      <c r="AV123" s="155">
        <f t="shared" si="214"/>
        <v>-7642.0137732425528</v>
      </c>
      <c r="AW123" s="155">
        <f t="shared" si="214"/>
        <v>-6529.7958062448097</v>
      </c>
      <c r="AX123" s="155">
        <f t="shared" si="214"/>
        <v>-5417.5778392470675</v>
      </c>
      <c r="AY123" s="155">
        <f t="shared" si="214"/>
        <v>-4412.9938690555582</v>
      </c>
      <c r="AZ123" s="155">
        <f t="shared" si="214"/>
        <v>-3300.7759020578164</v>
      </c>
      <c r="BA123" s="155">
        <f t="shared" si="214"/>
        <v>-2224.4359339954844</v>
      </c>
      <c r="BB123" s="155">
        <f t="shared" si="214"/>
        <v>-1112.2179669977422</v>
      </c>
      <c r="BC123" s="155">
        <f t="shared" si="214"/>
        <v>-35.877998935411043</v>
      </c>
      <c r="BD123" s="155">
        <f t="shared" si="215"/>
        <v>2779643.2829266996</v>
      </c>
      <c r="BE123" s="155">
        <f t="shared" si="216"/>
        <v>2864638.2624046886</v>
      </c>
    </row>
    <row r="124" spans="1:57" x14ac:dyDescent="0.15">
      <c r="A124" s="39" t="s">
        <v>61</v>
      </c>
      <c r="G124" s="155">
        <v>212824.85</v>
      </c>
      <c r="H124" s="155">
        <f t="shared" ref="H124:M133" si="257">+G124+SUMIF($B$332:$B$370,$A124,H$332:H$370)</f>
        <v>212824.85</v>
      </c>
      <c r="I124" s="155">
        <f t="shared" si="257"/>
        <v>212824.85</v>
      </c>
      <c r="J124" s="155">
        <f t="shared" si="257"/>
        <v>212824.85</v>
      </c>
      <c r="K124" s="155">
        <f t="shared" si="257"/>
        <v>212824.85</v>
      </c>
      <c r="L124" s="155">
        <f t="shared" si="257"/>
        <v>212824.85</v>
      </c>
      <c r="M124" s="155">
        <f t="shared" si="257"/>
        <v>212824.85</v>
      </c>
      <c r="N124" s="184">
        <f t="shared" si="209"/>
        <v>212824.85</v>
      </c>
      <c r="O124" s="155">
        <f t="shared" si="210"/>
        <v>212824.85</v>
      </c>
      <c r="P124" s="155">
        <f t="shared" ref="P124:Z124" si="258">+O124+SUMIF($B$332:$B$370,$A124,P$332:P$370)</f>
        <v>212824.85</v>
      </c>
      <c r="Q124" s="155">
        <f t="shared" si="258"/>
        <v>212824.85</v>
      </c>
      <c r="R124" s="155">
        <f t="shared" si="258"/>
        <v>212824.85</v>
      </c>
      <c r="S124" s="155">
        <f t="shared" si="258"/>
        <v>212824.85</v>
      </c>
      <c r="T124" s="155">
        <f t="shared" si="258"/>
        <v>212824.85</v>
      </c>
      <c r="U124" s="155">
        <f t="shared" si="258"/>
        <v>212824.85</v>
      </c>
      <c r="V124" s="155">
        <f t="shared" si="258"/>
        <v>212824.85</v>
      </c>
      <c r="W124" s="155">
        <f t="shared" si="258"/>
        <v>212824.85</v>
      </c>
      <c r="X124" s="155">
        <f t="shared" si="258"/>
        <v>212824.85</v>
      </c>
      <c r="Y124" s="155">
        <f t="shared" si="258"/>
        <v>212824.85</v>
      </c>
      <c r="Z124" s="155">
        <f t="shared" si="258"/>
        <v>212824.85</v>
      </c>
      <c r="AA124" s="184">
        <f t="shared" si="218"/>
        <v>212824.85</v>
      </c>
      <c r="AB124" s="155">
        <f t="shared" ref="AB124:AM124" si="259">+AA124+SUMIF($B$332:$B$370,$A124,AB$332:AB$370)</f>
        <v>212824.85</v>
      </c>
      <c r="AC124" s="155">
        <f t="shared" si="259"/>
        <v>212824.85</v>
      </c>
      <c r="AD124" s="155">
        <f t="shared" si="259"/>
        <v>212824.85</v>
      </c>
      <c r="AE124" s="155">
        <f t="shared" si="259"/>
        <v>212824.85</v>
      </c>
      <c r="AF124" s="155">
        <f t="shared" si="259"/>
        <v>212824.85</v>
      </c>
      <c r="AG124" s="155">
        <f t="shared" si="259"/>
        <v>212824.85</v>
      </c>
      <c r="AH124" s="155">
        <f t="shared" si="259"/>
        <v>212824.85</v>
      </c>
      <c r="AI124" s="155">
        <f t="shared" si="259"/>
        <v>212824.85</v>
      </c>
      <c r="AJ124" s="155">
        <f t="shared" si="259"/>
        <v>212824.85</v>
      </c>
      <c r="AK124" s="155">
        <f t="shared" si="259"/>
        <v>212824.85</v>
      </c>
      <c r="AL124" s="155">
        <f t="shared" si="259"/>
        <v>212824.85</v>
      </c>
      <c r="AM124" s="155">
        <f t="shared" si="259"/>
        <v>212824.85</v>
      </c>
      <c r="AN124" s="184">
        <f t="shared" si="220"/>
        <v>212824.85</v>
      </c>
      <c r="AO124" s="155"/>
      <c r="AQ124" s="155">
        <f t="shared" si="213"/>
        <v>212824.85</v>
      </c>
      <c r="AR124" s="155">
        <f t="shared" si="214"/>
        <v>0</v>
      </c>
      <c r="AS124" s="155">
        <f t="shared" si="214"/>
        <v>0</v>
      </c>
      <c r="AT124" s="155">
        <f t="shared" si="214"/>
        <v>0</v>
      </c>
      <c r="AU124" s="155">
        <f t="shared" si="214"/>
        <v>0</v>
      </c>
      <c r="AV124" s="155">
        <f t="shared" si="214"/>
        <v>0</v>
      </c>
      <c r="AW124" s="155">
        <f t="shared" si="214"/>
        <v>0</v>
      </c>
      <c r="AX124" s="155">
        <f t="shared" si="214"/>
        <v>0</v>
      </c>
      <c r="AY124" s="155">
        <f t="shared" si="214"/>
        <v>0</v>
      </c>
      <c r="AZ124" s="155">
        <f t="shared" si="214"/>
        <v>0</v>
      </c>
      <c r="BA124" s="155">
        <f t="shared" si="214"/>
        <v>0</v>
      </c>
      <c r="BB124" s="155">
        <f t="shared" si="214"/>
        <v>0</v>
      </c>
      <c r="BC124" s="155">
        <f t="shared" si="214"/>
        <v>0</v>
      </c>
      <c r="BD124" s="155">
        <f t="shared" si="215"/>
        <v>212824.85</v>
      </c>
      <c r="BE124" s="155">
        <f t="shared" si="216"/>
        <v>212824.85</v>
      </c>
    </row>
    <row r="125" spans="1:57" x14ac:dyDescent="0.15">
      <c r="A125" s="39" t="s">
        <v>62</v>
      </c>
      <c r="G125" s="155">
        <v>5890188.6900000004</v>
      </c>
      <c r="H125" s="155">
        <f t="shared" si="257"/>
        <v>5890188.6900000004</v>
      </c>
      <c r="I125" s="155">
        <f t="shared" si="257"/>
        <v>5890188.6900000004</v>
      </c>
      <c r="J125" s="155">
        <f t="shared" si="257"/>
        <v>5890188.6900000004</v>
      </c>
      <c r="K125" s="155">
        <f t="shared" si="257"/>
        <v>5890188.6900000004</v>
      </c>
      <c r="L125" s="155">
        <f t="shared" si="257"/>
        <v>5890188.6900000004</v>
      </c>
      <c r="M125" s="155">
        <f t="shared" si="257"/>
        <v>5890188.6900000004</v>
      </c>
      <c r="N125" s="184">
        <f t="shared" si="209"/>
        <v>5890188.6900000004</v>
      </c>
      <c r="O125" s="155">
        <f t="shared" si="210"/>
        <v>5890188.6900000004</v>
      </c>
      <c r="P125" s="155">
        <f t="shared" ref="P125:Z125" si="260">+O125+SUMIF($B$332:$B$370,$A125,P$332:P$370)</f>
        <v>5890188.6900000004</v>
      </c>
      <c r="Q125" s="155">
        <f t="shared" si="260"/>
        <v>5890188.6900000004</v>
      </c>
      <c r="R125" s="155">
        <f t="shared" si="260"/>
        <v>5890188.6900000004</v>
      </c>
      <c r="S125" s="155">
        <f t="shared" si="260"/>
        <v>5890188.6900000004</v>
      </c>
      <c r="T125" s="155">
        <f t="shared" si="260"/>
        <v>5890188.6900000004</v>
      </c>
      <c r="U125" s="155">
        <f t="shared" si="260"/>
        <v>5890188.6900000004</v>
      </c>
      <c r="V125" s="155">
        <f t="shared" si="260"/>
        <v>5890188.6900000004</v>
      </c>
      <c r="W125" s="155">
        <f t="shared" si="260"/>
        <v>5890188.6900000004</v>
      </c>
      <c r="X125" s="155">
        <f t="shared" si="260"/>
        <v>5890188.6900000004</v>
      </c>
      <c r="Y125" s="155">
        <f t="shared" si="260"/>
        <v>5890188.6900000004</v>
      </c>
      <c r="Z125" s="155">
        <f t="shared" si="260"/>
        <v>5890188.6900000004</v>
      </c>
      <c r="AA125" s="184">
        <f t="shared" si="218"/>
        <v>5890188.6900000004</v>
      </c>
      <c r="AB125" s="155">
        <f t="shared" ref="AB125:AM125" si="261">+AA125+SUMIF($B$332:$B$370,$A125,AB$332:AB$370)</f>
        <v>5890188.6900000004</v>
      </c>
      <c r="AC125" s="155">
        <f t="shared" si="261"/>
        <v>5890188.6900000004</v>
      </c>
      <c r="AD125" s="155">
        <f t="shared" si="261"/>
        <v>5890188.6900000004</v>
      </c>
      <c r="AE125" s="155">
        <f t="shared" si="261"/>
        <v>5890188.6900000004</v>
      </c>
      <c r="AF125" s="155">
        <f t="shared" si="261"/>
        <v>5890188.6900000004</v>
      </c>
      <c r="AG125" s="155">
        <f t="shared" si="261"/>
        <v>5890188.6900000004</v>
      </c>
      <c r="AH125" s="155">
        <f t="shared" si="261"/>
        <v>5890188.6900000004</v>
      </c>
      <c r="AI125" s="155">
        <f t="shared" si="261"/>
        <v>5890188.6900000004</v>
      </c>
      <c r="AJ125" s="155">
        <f t="shared" si="261"/>
        <v>5890188.6900000004</v>
      </c>
      <c r="AK125" s="155">
        <f t="shared" si="261"/>
        <v>5890188.6900000004</v>
      </c>
      <c r="AL125" s="155">
        <f t="shared" si="261"/>
        <v>5890188.6900000004</v>
      </c>
      <c r="AM125" s="155">
        <f t="shared" si="261"/>
        <v>5890188.6900000004</v>
      </c>
      <c r="AN125" s="184">
        <f t="shared" si="220"/>
        <v>5890188.6900000004</v>
      </c>
      <c r="AO125" s="155"/>
      <c r="AQ125" s="155">
        <f t="shared" si="213"/>
        <v>5890188.6900000004</v>
      </c>
      <c r="AR125" s="155">
        <f t="shared" si="214"/>
        <v>0</v>
      </c>
      <c r="AS125" s="155">
        <f t="shared" si="214"/>
        <v>0</v>
      </c>
      <c r="AT125" s="155">
        <f t="shared" si="214"/>
        <v>0</v>
      </c>
      <c r="AU125" s="155">
        <f t="shared" ref="AS125:BC148" si="262">($BD125-$AQ125)/12*AU$6</f>
        <v>0</v>
      </c>
      <c r="AV125" s="155">
        <f t="shared" si="262"/>
        <v>0</v>
      </c>
      <c r="AW125" s="155">
        <f t="shared" si="262"/>
        <v>0</v>
      </c>
      <c r="AX125" s="155">
        <f t="shared" si="262"/>
        <v>0</v>
      </c>
      <c r="AY125" s="155">
        <f t="shared" si="262"/>
        <v>0</v>
      </c>
      <c r="AZ125" s="155">
        <f t="shared" si="262"/>
        <v>0</v>
      </c>
      <c r="BA125" s="155">
        <f t="shared" si="262"/>
        <v>0</v>
      </c>
      <c r="BB125" s="155">
        <f t="shared" si="262"/>
        <v>0</v>
      </c>
      <c r="BC125" s="155">
        <f t="shared" si="262"/>
        <v>0</v>
      </c>
      <c r="BD125" s="155">
        <f t="shared" si="215"/>
        <v>5890188.6900000004</v>
      </c>
      <c r="BE125" s="155">
        <f t="shared" si="216"/>
        <v>5890188.6900000004</v>
      </c>
    </row>
    <row r="126" spans="1:57" x14ac:dyDescent="0.15">
      <c r="A126" s="39" t="s">
        <v>63</v>
      </c>
      <c r="G126" s="155">
        <v>-1161242.92</v>
      </c>
      <c r="H126" s="155">
        <f t="shared" si="257"/>
        <v>-1161242.92</v>
      </c>
      <c r="I126" s="155">
        <f t="shared" si="257"/>
        <v>-1161242.92</v>
      </c>
      <c r="J126" s="155">
        <f t="shared" si="257"/>
        <v>-1161242.92</v>
      </c>
      <c r="K126" s="155">
        <f t="shared" si="257"/>
        <v>-1161242.92</v>
      </c>
      <c r="L126" s="155">
        <f t="shared" si="257"/>
        <v>-1161242.92</v>
      </c>
      <c r="M126" s="155">
        <f t="shared" si="257"/>
        <v>-1161242.92</v>
      </c>
      <c r="N126" s="184">
        <f t="shared" si="209"/>
        <v>-1161242.92</v>
      </c>
      <c r="O126" s="155">
        <f t="shared" si="210"/>
        <v>-1161242.92</v>
      </c>
      <c r="P126" s="155">
        <f t="shared" ref="P126:Z126" si="263">+O126+SUMIF($B$332:$B$370,$A126,P$332:P$370)</f>
        <v>-1161242.92</v>
      </c>
      <c r="Q126" s="155">
        <f t="shared" si="263"/>
        <v>-1161242.92</v>
      </c>
      <c r="R126" s="155">
        <f t="shared" si="263"/>
        <v>-1161242.92</v>
      </c>
      <c r="S126" s="155">
        <f t="shared" si="263"/>
        <v>-1161242.92</v>
      </c>
      <c r="T126" s="155">
        <f t="shared" si="263"/>
        <v>-1161242.92</v>
      </c>
      <c r="U126" s="155">
        <f t="shared" si="263"/>
        <v>-1161242.92</v>
      </c>
      <c r="V126" s="155">
        <f t="shared" si="263"/>
        <v>-1161242.92</v>
      </c>
      <c r="W126" s="155">
        <f t="shared" si="263"/>
        <v>-1161242.92</v>
      </c>
      <c r="X126" s="155">
        <f t="shared" si="263"/>
        <v>-1161242.92</v>
      </c>
      <c r="Y126" s="155">
        <f t="shared" si="263"/>
        <v>-1161242.92</v>
      </c>
      <c r="Z126" s="155">
        <f t="shared" si="263"/>
        <v>-1161242.92</v>
      </c>
      <c r="AA126" s="184">
        <f t="shared" si="218"/>
        <v>-1161242.92</v>
      </c>
      <c r="AB126" s="155">
        <f t="shared" ref="AB126:AM126" si="264">+AA126+SUMIF($B$332:$B$370,$A126,AB$332:AB$370)</f>
        <v>-1161242.92</v>
      </c>
      <c r="AC126" s="155">
        <f t="shared" si="264"/>
        <v>-1161242.92</v>
      </c>
      <c r="AD126" s="155">
        <f t="shared" si="264"/>
        <v>-1161242.92</v>
      </c>
      <c r="AE126" s="155">
        <f t="shared" si="264"/>
        <v>-1161242.92</v>
      </c>
      <c r="AF126" s="155">
        <f t="shared" si="264"/>
        <v>-1161242.92</v>
      </c>
      <c r="AG126" s="155">
        <f t="shared" si="264"/>
        <v>-1161242.92</v>
      </c>
      <c r="AH126" s="155">
        <f t="shared" si="264"/>
        <v>-1161242.92</v>
      </c>
      <c r="AI126" s="155">
        <f t="shared" si="264"/>
        <v>-1161242.92</v>
      </c>
      <c r="AJ126" s="155">
        <f t="shared" si="264"/>
        <v>-1161242.92</v>
      </c>
      <c r="AK126" s="155">
        <f t="shared" si="264"/>
        <v>-1161242.92</v>
      </c>
      <c r="AL126" s="155">
        <f t="shared" si="264"/>
        <v>-1161242.92</v>
      </c>
      <c r="AM126" s="155">
        <f t="shared" si="264"/>
        <v>-1161242.92</v>
      </c>
      <c r="AN126" s="184">
        <f t="shared" si="220"/>
        <v>-1161242.92</v>
      </c>
      <c r="AO126" s="155"/>
      <c r="AQ126" s="155">
        <f t="shared" si="213"/>
        <v>-1161242.92</v>
      </c>
      <c r="AR126" s="155">
        <f t="shared" ref="AR126:AR152" si="265">($BD126-$AQ126)/12*AR$6</f>
        <v>0</v>
      </c>
      <c r="AS126" s="155">
        <f t="shared" si="262"/>
        <v>0</v>
      </c>
      <c r="AT126" s="155">
        <f t="shared" si="262"/>
        <v>0</v>
      </c>
      <c r="AU126" s="155">
        <f t="shared" si="262"/>
        <v>0</v>
      </c>
      <c r="AV126" s="155">
        <f t="shared" si="262"/>
        <v>0</v>
      </c>
      <c r="AW126" s="155">
        <f t="shared" si="262"/>
        <v>0</v>
      </c>
      <c r="AX126" s="155">
        <f t="shared" si="262"/>
        <v>0</v>
      </c>
      <c r="AY126" s="155">
        <f t="shared" si="262"/>
        <v>0</v>
      </c>
      <c r="AZ126" s="155">
        <f t="shared" si="262"/>
        <v>0</v>
      </c>
      <c r="BA126" s="155">
        <f t="shared" si="262"/>
        <v>0</v>
      </c>
      <c r="BB126" s="155">
        <f t="shared" si="262"/>
        <v>0</v>
      </c>
      <c r="BC126" s="155">
        <f t="shared" si="262"/>
        <v>0</v>
      </c>
      <c r="BD126" s="155">
        <f t="shared" si="215"/>
        <v>-1161242.92</v>
      </c>
      <c r="BE126" s="155">
        <f t="shared" si="216"/>
        <v>-1161242.92</v>
      </c>
    </row>
    <row r="127" spans="1:57" x14ac:dyDescent="0.15">
      <c r="A127" s="39" t="s">
        <v>64</v>
      </c>
      <c r="G127" s="155">
        <v>-4728945.8</v>
      </c>
      <c r="H127" s="155">
        <f t="shared" si="257"/>
        <v>-4728945.8</v>
      </c>
      <c r="I127" s="155">
        <f t="shared" si="257"/>
        <v>-4728945.8</v>
      </c>
      <c r="J127" s="155">
        <f t="shared" si="257"/>
        <v>-4728945.8</v>
      </c>
      <c r="K127" s="155">
        <f t="shared" si="257"/>
        <v>-4728945.8</v>
      </c>
      <c r="L127" s="155">
        <f t="shared" si="257"/>
        <v>-4728945.8</v>
      </c>
      <c r="M127" s="155">
        <f t="shared" si="257"/>
        <v>-4728945.8</v>
      </c>
      <c r="N127" s="184">
        <f t="shared" si="209"/>
        <v>-4728945.8</v>
      </c>
      <c r="O127" s="155">
        <f t="shared" si="210"/>
        <v>-4728945.8</v>
      </c>
      <c r="P127" s="155">
        <f t="shared" ref="P127:Z127" si="266">+O127+SUMIF($B$332:$B$370,$A127,P$332:P$370)</f>
        <v>-4728945.8</v>
      </c>
      <c r="Q127" s="155">
        <f t="shared" si="266"/>
        <v>-4728945.8</v>
      </c>
      <c r="R127" s="155">
        <f t="shared" si="266"/>
        <v>-4728945.8</v>
      </c>
      <c r="S127" s="155">
        <f t="shared" si="266"/>
        <v>-4728945.8</v>
      </c>
      <c r="T127" s="155">
        <f t="shared" si="266"/>
        <v>-4728945.8</v>
      </c>
      <c r="U127" s="155">
        <f t="shared" si="266"/>
        <v>-4728945.8</v>
      </c>
      <c r="V127" s="155">
        <f t="shared" si="266"/>
        <v>-4728945.8</v>
      </c>
      <c r="W127" s="155">
        <f t="shared" si="266"/>
        <v>-4728945.8</v>
      </c>
      <c r="X127" s="155">
        <f t="shared" si="266"/>
        <v>-4728945.8</v>
      </c>
      <c r="Y127" s="155">
        <f t="shared" si="266"/>
        <v>-4728945.8</v>
      </c>
      <c r="Z127" s="155">
        <f t="shared" si="266"/>
        <v>-4728945.8</v>
      </c>
      <c r="AA127" s="184">
        <f t="shared" si="218"/>
        <v>-4728945.8</v>
      </c>
      <c r="AB127" s="155">
        <f t="shared" ref="AB127:AM127" si="267">+AA127+SUMIF($B$332:$B$370,$A127,AB$332:AB$370)</f>
        <v>-4728945.8</v>
      </c>
      <c r="AC127" s="155">
        <f t="shared" si="267"/>
        <v>-4728945.8</v>
      </c>
      <c r="AD127" s="155">
        <f t="shared" si="267"/>
        <v>-4728945.8</v>
      </c>
      <c r="AE127" s="155">
        <f t="shared" si="267"/>
        <v>-4728945.8</v>
      </c>
      <c r="AF127" s="155">
        <f t="shared" si="267"/>
        <v>-4728945.8</v>
      </c>
      <c r="AG127" s="155">
        <f t="shared" si="267"/>
        <v>-4728945.8</v>
      </c>
      <c r="AH127" s="155">
        <f t="shared" si="267"/>
        <v>-4728945.8</v>
      </c>
      <c r="AI127" s="155">
        <f t="shared" si="267"/>
        <v>-4728945.8</v>
      </c>
      <c r="AJ127" s="155">
        <f t="shared" si="267"/>
        <v>-4728945.8</v>
      </c>
      <c r="AK127" s="155">
        <f t="shared" si="267"/>
        <v>-4728945.8</v>
      </c>
      <c r="AL127" s="155">
        <f t="shared" si="267"/>
        <v>-4728945.8</v>
      </c>
      <c r="AM127" s="155">
        <f t="shared" si="267"/>
        <v>-4728945.8</v>
      </c>
      <c r="AN127" s="184">
        <f t="shared" si="220"/>
        <v>-4728945.8</v>
      </c>
      <c r="AO127" s="155"/>
      <c r="AQ127" s="155">
        <f t="shared" si="213"/>
        <v>-4728945.8</v>
      </c>
      <c r="AR127" s="155">
        <f t="shared" si="265"/>
        <v>0</v>
      </c>
      <c r="AS127" s="155">
        <f t="shared" si="262"/>
        <v>0</v>
      </c>
      <c r="AT127" s="155">
        <f t="shared" si="262"/>
        <v>0</v>
      </c>
      <c r="AU127" s="155">
        <f t="shared" si="262"/>
        <v>0</v>
      </c>
      <c r="AV127" s="155">
        <f t="shared" si="262"/>
        <v>0</v>
      </c>
      <c r="AW127" s="155">
        <f t="shared" si="262"/>
        <v>0</v>
      </c>
      <c r="AX127" s="155">
        <f t="shared" si="262"/>
        <v>0</v>
      </c>
      <c r="AY127" s="155">
        <f t="shared" si="262"/>
        <v>0</v>
      </c>
      <c r="AZ127" s="155">
        <f t="shared" si="262"/>
        <v>0</v>
      </c>
      <c r="BA127" s="155">
        <f t="shared" si="262"/>
        <v>0</v>
      </c>
      <c r="BB127" s="155">
        <f t="shared" si="262"/>
        <v>0</v>
      </c>
      <c r="BC127" s="155">
        <f t="shared" si="262"/>
        <v>0</v>
      </c>
      <c r="BD127" s="155">
        <f t="shared" si="215"/>
        <v>-4728945.8</v>
      </c>
      <c r="BE127" s="155">
        <f t="shared" si="216"/>
        <v>-4728945.8</v>
      </c>
    </row>
    <row r="128" spans="1:57" x14ac:dyDescent="0.15">
      <c r="A128" s="39" t="s">
        <v>65</v>
      </c>
      <c r="G128" s="155">
        <v>153629.41</v>
      </c>
      <c r="H128" s="155">
        <f t="shared" si="257"/>
        <v>153629.41</v>
      </c>
      <c r="I128" s="155">
        <f t="shared" si="257"/>
        <v>153629.41</v>
      </c>
      <c r="J128" s="155">
        <f t="shared" si="257"/>
        <v>166693.4578039168</v>
      </c>
      <c r="K128" s="155">
        <f t="shared" si="257"/>
        <v>166693.4578039168</v>
      </c>
      <c r="L128" s="155">
        <f t="shared" si="257"/>
        <v>166693.4578039168</v>
      </c>
      <c r="M128" s="155">
        <f t="shared" si="257"/>
        <v>179757.50560783359</v>
      </c>
      <c r="N128" s="184">
        <f t="shared" si="209"/>
        <v>179757.50560783359</v>
      </c>
      <c r="O128" s="155">
        <f t="shared" si="210"/>
        <v>179757.50560783359</v>
      </c>
      <c r="P128" s="155">
        <f t="shared" ref="P128:Z128" si="268">+O128+SUMIF($B$332:$B$370,$A128,P$332:P$370)</f>
        <v>179757.50560783359</v>
      </c>
      <c r="Q128" s="155">
        <f t="shared" si="268"/>
        <v>171161.36652456081</v>
      </c>
      <c r="R128" s="155">
        <f t="shared" si="268"/>
        <v>171161.36652456081</v>
      </c>
      <c r="S128" s="155">
        <f t="shared" si="268"/>
        <v>171161.36652456081</v>
      </c>
      <c r="T128" s="155">
        <f t="shared" si="268"/>
        <v>162565.22744128804</v>
      </c>
      <c r="U128" s="155">
        <f t="shared" si="268"/>
        <v>162565.22744128804</v>
      </c>
      <c r="V128" s="155">
        <f t="shared" si="268"/>
        <v>162565.22744128804</v>
      </c>
      <c r="W128" s="155">
        <f t="shared" si="268"/>
        <v>153969.08835801526</v>
      </c>
      <c r="X128" s="155">
        <f t="shared" si="268"/>
        <v>153969.08835801526</v>
      </c>
      <c r="Y128" s="155">
        <f t="shared" si="268"/>
        <v>153969.08835801526</v>
      </c>
      <c r="Z128" s="155">
        <f t="shared" si="268"/>
        <v>145372.94927474248</v>
      </c>
      <c r="AA128" s="184">
        <f t="shared" si="218"/>
        <v>145372.94927474248</v>
      </c>
      <c r="AB128" s="155">
        <f t="shared" ref="AB128:AM128" si="269">+AA128+SUMIF($B$332:$B$370,$A128,AB$332:AB$370)</f>
        <v>145372.94927474248</v>
      </c>
      <c r="AC128" s="155">
        <f t="shared" si="269"/>
        <v>145372.94927474248</v>
      </c>
      <c r="AD128" s="155">
        <f t="shared" si="269"/>
        <v>123788.57666596623</v>
      </c>
      <c r="AE128" s="155">
        <f t="shared" si="269"/>
        <v>123788.57666596623</v>
      </c>
      <c r="AF128" s="155">
        <f t="shared" si="269"/>
        <v>123788.57666596623</v>
      </c>
      <c r="AG128" s="155">
        <f t="shared" si="269"/>
        <v>102204.20405718999</v>
      </c>
      <c r="AH128" s="155">
        <f t="shared" si="269"/>
        <v>102204.20405718999</v>
      </c>
      <c r="AI128" s="155">
        <f t="shared" si="269"/>
        <v>102204.20405718999</v>
      </c>
      <c r="AJ128" s="155">
        <f t="shared" si="269"/>
        <v>80619.831448413737</v>
      </c>
      <c r="AK128" s="155">
        <f t="shared" si="269"/>
        <v>80619.831448413737</v>
      </c>
      <c r="AL128" s="155">
        <f t="shared" si="269"/>
        <v>80619.831448413737</v>
      </c>
      <c r="AM128" s="155">
        <f t="shared" si="269"/>
        <v>59035.458839637489</v>
      </c>
      <c r="AN128" s="184">
        <f t="shared" si="220"/>
        <v>59035.458839637489</v>
      </c>
      <c r="AO128" s="155"/>
      <c r="AQ128" s="155">
        <f t="shared" si="213"/>
        <v>171161.36652456081</v>
      </c>
      <c r="AR128" s="155">
        <f t="shared" si="265"/>
        <v>-3623.2613248011839</v>
      </c>
      <c r="AS128" s="155">
        <f t="shared" si="262"/>
        <v>-3287.9744559389846</v>
      </c>
      <c r="AT128" s="155">
        <f t="shared" si="262"/>
        <v>-2963.5032925239534</v>
      </c>
      <c r="AU128" s="155">
        <f t="shared" si="262"/>
        <v>-2628.2164236617546</v>
      </c>
      <c r="AV128" s="155">
        <f t="shared" si="262"/>
        <v>-2303.7452602467229</v>
      </c>
      <c r="AW128" s="155">
        <f t="shared" si="262"/>
        <v>-1968.4583913845238</v>
      </c>
      <c r="AX128" s="155">
        <f t="shared" si="262"/>
        <v>-1633.1715225223247</v>
      </c>
      <c r="AY128" s="155">
        <f t="shared" si="262"/>
        <v>-1330.3317700016287</v>
      </c>
      <c r="AZ128" s="155">
        <f t="shared" si="262"/>
        <v>-995.04490113942961</v>
      </c>
      <c r="BA128" s="155">
        <f t="shared" si="262"/>
        <v>-670.57373772439814</v>
      </c>
      <c r="BB128" s="155">
        <f t="shared" si="262"/>
        <v>-335.28686886219907</v>
      </c>
      <c r="BC128" s="155">
        <f t="shared" si="262"/>
        <v>-10.815705447167712</v>
      </c>
      <c r="BD128" s="155">
        <f t="shared" si="215"/>
        <v>123788.57666596623</v>
      </c>
      <c r="BE128" s="155">
        <f t="shared" si="216"/>
        <v>149410.98287030656</v>
      </c>
    </row>
    <row r="129" spans="1:57" x14ac:dyDescent="0.15">
      <c r="A129" s="39" t="s">
        <v>88</v>
      </c>
      <c r="G129" s="155">
        <v>377533.42000000004</v>
      </c>
      <c r="H129" s="155">
        <f t="shared" si="257"/>
        <v>377533.42000000004</v>
      </c>
      <c r="I129" s="155">
        <f t="shared" si="257"/>
        <v>377533.42000000004</v>
      </c>
      <c r="J129" s="155">
        <f t="shared" si="257"/>
        <v>332596.90937750007</v>
      </c>
      <c r="K129" s="155">
        <f t="shared" si="257"/>
        <v>332596.90937750007</v>
      </c>
      <c r="L129" s="155">
        <f t="shared" si="257"/>
        <v>332596.90937750007</v>
      </c>
      <c r="M129" s="155">
        <f t="shared" si="257"/>
        <v>287660.39875500009</v>
      </c>
      <c r="N129" s="184">
        <f t="shared" si="209"/>
        <v>287660.39875500009</v>
      </c>
      <c r="O129" s="155">
        <f t="shared" si="210"/>
        <v>287660.39875500009</v>
      </c>
      <c r="P129" s="155">
        <f t="shared" ref="P129:Z129" si="270">+O129+SUMIF($B$332:$B$370,$A129,P$332:P$370)</f>
        <v>287660.39875500009</v>
      </c>
      <c r="Q129" s="155">
        <f t="shared" si="270"/>
        <v>213641.54438250008</v>
      </c>
      <c r="R129" s="155">
        <f t="shared" si="270"/>
        <v>213641.54438250008</v>
      </c>
      <c r="S129" s="155">
        <f t="shared" si="270"/>
        <v>213641.54438250008</v>
      </c>
      <c r="T129" s="155">
        <f t="shared" si="270"/>
        <v>139622.69001000008</v>
      </c>
      <c r="U129" s="155">
        <f t="shared" si="270"/>
        <v>139622.69001000008</v>
      </c>
      <c r="V129" s="155">
        <f t="shared" si="270"/>
        <v>139622.69001000008</v>
      </c>
      <c r="W129" s="155">
        <f t="shared" si="270"/>
        <v>65603.835637500073</v>
      </c>
      <c r="X129" s="155">
        <f t="shared" si="270"/>
        <v>65603.835637500073</v>
      </c>
      <c r="Y129" s="155">
        <f t="shared" si="270"/>
        <v>65603.835637500073</v>
      </c>
      <c r="Z129" s="155">
        <f t="shared" si="270"/>
        <v>-8415.0187349999323</v>
      </c>
      <c r="AA129" s="184">
        <f t="shared" si="218"/>
        <v>-8415.0187349999323</v>
      </c>
      <c r="AB129" s="155">
        <f t="shared" ref="AB129:AM129" si="271">+AA129+SUMIF($B$332:$B$370,$A129,AB$332:AB$370)</f>
        <v>-8415.0187349999323</v>
      </c>
      <c r="AC129" s="155">
        <f t="shared" si="271"/>
        <v>-8415.0187349999323</v>
      </c>
      <c r="AD129" s="155">
        <f t="shared" si="271"/>
        <v>-8415.0187349999323</v>
      </c>
      <c r="AE129" s="155">
        <f t="shared" si="271"/>
        <v>-8415.0187349999323</v>
      </c>
      <c r="AF129" s="155">
        <f t="shared" si="271"/>
        <v>-8415.0187349999323</v>
      </c>
      <c r="AG129" s="155">
        <f t="shared" si="271"/>
        <v>-8415.0187349999323</v>
      </c>
      <c r="AH129" s="155">
        <f t="shared" si="271"/>
        <v>-8415.0187349999323</v>
      </c>
      <c r="AI129" s="155">
        <f t="shared" si="271"/>
        <v>-8415.0187349999323</v>
      </c>
      <c r="AJ129" s="155">
        <f t="shared" si="271"/>
        <v>-8415.0187349999323</v>
      </c>
      <c r="AK129" s="155">
        <f t="shared" si="271"/>
        <v>-8415.0187349999323</v>
      </c>
      <c r="AL129" s="155">
        <f t="shared" si="271"/>
        <v>-8415.0187349999323</v>
      </c>
      <c r="AM129" s="155">
        <f t="shared" si="271"/>
        <v>-8415.0187349999323</v>
      </c>
      <c r="AN129" s="184">
        <f t="shared" si="220"/>
        <v>-8415.0187349999323</v>
      </c>
      <c r="AO129" s="155"/>
      <c r="AQ129" s="155">
        <f t="shared" si="213"/>
        <v>213641.54438250008</v>
      </c>
      <c r="AR129" s="155">
        <f t="shared" si="265"/>
        <v>-16983.778229306507</v>
      </c>
      <c r="AS129" s="155">
        <f t="shared" si="262"/>
        <v>-15412.145020027399</v>
      </c>
      <c r="AT129" s="155">
        <f t="shared" si="262"/>
        <v>-13891.209656208906</v>
      </c>
      <c r="AU129" s="155">
        <f t="shared" si="262"/>
        <v>-12319.576446929796</v>
      </c>
      <c r="AV129" s="155">
        <f t="shared" si="262"/>
        <v>-10798.641083111303</v>
      </c>
      <c r="AW129" s="155">
        <f t="shared" si="262"/>
        <v>-9227.0078738321918</v>
      </c>
      <c r="AX129" s="155">
        <f t="shared" si="262"/>
        <v>-7655.3746645530828</v>
      </c>
      <c r="AY129" s="155">
        <f t="shared" si="262"/>
        <v>-6235.8349916558227</v>
      </c>
      <c r="AZ129" s="155">
        <f t="shared" si="262"/>
        <v>-4664.2017823767128</v>
      </c>
      <c r="BA129" s="155">
        <f t="shared" si="262"/>
        <v>-3143.2664185582194</v>
      </c>
      <c r="BB129" s="155">
        <f t="shared" si="262"/>
        <v>-1571.6332092791097</v>
      </c>
      <c r="BC129" s="155">
        <f t="shared" si="262"/>
        <v>-50.697845460616442</v>
      </c>
      <c r="BD129" s="155">
        <f t="shared" si="215"/>
        <v>-8415.0187349999323</v>
      </c>
      <c r="BE129" s="155">
        <f t="shared" si="216"/>
        <v>111688.17716120039</v>
      </c>
    </row>
    <row r="130" spans="1:57" x14ac:dyDescent="0.15">
      <c r="A130" s="39" t="s">
        <v>66</v>
      </c>
      <c r="G130" s="155">
        <v>348831.21</v>
      </c>
      <c r="H130" s="155">
        <f t="shared" si="257"/>
        <v>348831.21</v>
      </c>
      <c r="I130" s="155">
        <f t="shared" si="257"/>
        <v>348831.21</v>
      </c>
      <c r="J130" s="155">
        <f t="shared" si="257"/>
        <v>473961.0046305228</v>
      </c>
      <c r="K130" s="155">
        <f t="shared" si="257"/>
        <v>473961.0046305228</v>
      </c>
      <c r="L130" s="155">
        <f t="shared" si="257"/>
        <v>473961.0046305228</v>
      </c>
      <c r="M130" s="155">
        <f t="shared" si="257"/>
        <v>599090.79926104564</v>
      </c>
      <c r="N130" s="184">
        <f t="shared" si="209"/>
        <v>599090.79926104564</v>
      </c>
      <c r="O130" s="155">
        <f t="shared" si="210"/>
        <v>599090.79926104564</v>
      </c>
      <c r="P130" s="155">
        <f t="shared" ref="P130:Z130" si="272">+O130+SUMIF($B$332:$B$370,$A130,P$332:P$370)</f>
        <v>599090.79926104564</v>
      </c>
      <c r="Q130" s="155">
        <f t="shared" si="272"/>
        <v>688622.6137511644</v>
      </c>
      <c r="R130" s="155">
        <f t="shared" si="272"/>
        <v>688622.6137511644</v>
      </c>
      <c r="S130" s="155">
        <f t="shared" si="272"/>
        <v>688622.6137511644</v>
      </c>
      <c r="T130" s="155">
        <f t="shared" si="272"/>
        <v>778154.42824128317</v>
      </c>
      <c r="U130" s="155">
        <f t="shared" si="272"/>
        <v>778154.42824128317</v>
      </c>
      <c r="V130" s="155">
        <f t="shared" si="272"/>
        <v>778154.42824128317</v>
      </c>
      <c r="W130" s="155">
        <f t="shared" si="272"/>
        <v>867686.24273140193</v>
      </c>
      <c r="X130" s="155">
        <f t="shared" si="272"/>
        <v>867686.24273140193</v>
      </c>
      <c r="Y130" s="155">
        <f t="shared" si="272"/>
        <v>867686.24273140193</v>
      </c>
      <c r="Z130" s="155">
        <f t="shared" si="272"/>
        <v>957218.05722152069</v>
      </c>
      <c r="AA130" s="184">
        <f t="shared" si="218"/>
        <v>957218.05722152069</v>
      </c>
      <c r="AB130" s="155">
        <f t="shared" ref="AB130:AM130" si="273">+AA130+SUMIF($B$332:$B$370,$A130,AB$332:AB$370)</f>
        <v>957218.05722152069</v>
      </c>
      <c r="AC130" s="155">
        <f t="shared" si="273"/>
        <v>957218.05722152069</v>
      </c>
      <c r="AD130" s="155">
        <f t="shared" si="273"/>
        <v>1020531.0511458691</v>
      </c>
      <c r="AE130" s="155">
        <f t="shared" si="273"/>
        <v>1020531.0511458691</v>
      </c>
      <c r="AF130" s="155">
        <f t="shared" si="273"/>
        <v>1020531.0511458691</v>
      </c>
      <c r="AG130" s="155">
        <f t="shared" si="273"/>
        <v>1083844.0450702175</v>
      </c>
      <c r="AH130" s="155">
        <f t="shared" si="273"/>
        <v>1083844.0450702175</v>
      </c>
      <c r="AI130" s="155">
        <f t="shared" si="273"/>
        <v>1083844.0450702175</v>
      </c>
      <c r="AJ130" s="155">
        <f t="shared" si="273"/>
        <v>1147157.0389945658</v>
      </c>
      <c r="AK130" s="155">
        <f t="shared" si="273"/>
        <v>1147157.0389945658</v>
      </c>
      <c r="AL130" s="155">
        <f t="shared" si="273"/>
        <v>1147157.0389945658</v>
      </c>
      <c r="AM130" s="155">
        <f t="shared" si="273"/>
        <v>1210470.0329189142</v>
      </c>
      <c r="AN130" s="184">
        <f t="shared" si="220"/>
        <v>1210470.0329189142</v>
      </c>
      <c r="AO130" s="155"/>
      <c r="AQ130" s="155">
        <f t="shared" si="213"/>
        <v>688622.6137511644</v>
      </c>
      <c r="AR130" s="155">
        <f t="shared" si="265"/>
        <v>25385.690987951159</v>
      </c>
      <c r="AS130" s="155">
        <f t="shared" si="262"/>
        <v>23036.567344290004</v>
      </c>
      <c r="AT130" s="155">
        <f t="shared" si="262"/>
        <v>20763.221882682439</v>
      </c>
      <c r="AU130" s="155">
        <f t="shared" si="262"/>
        <v>18414.098239021288</v>
      </c>
      <c r="AV130" s="155">
        <f t="shared" si="262"/>
        <v>16140.752777413722</v>
      </c>
      <c r="AW130" s="155">
        <f t="shared" si="262"/>
        <v>13791.629133752569</v>
      </c>
      <c r="AX130" s="155">
        <f t="shared" si="262"/>
        <v>11442.505490091418</v>
      </c>
      <c r="AY130" s="155">
        <f t="shared" si="262"/>
        <v>9320.7163925910227</v>
      </c>
      <c r="AZ130" s="155">
        <f t="shared" si="262"/>
        <v>6971.592748929871</v>
      </c>
      <c r="BA130" s="155">
        <f t="shared" si="262"/>
        <v>4698.2472873223032</v>
      </c>
      <c r="BB130" s="155">
        <f t="shared" si="262"/>
        <v>2349.1236436611516</v>
      </c>
      <c r="BC130" s="155">
        <f t="shared" si="262"/>
        <v>75.778182053585539</v>
      </c>
      <c r="BD130" s="155">
        <f t="shared" si="215"/>
        <v>1020531.0511458691</v>
      </c>
      <c r="BE130" s="155">
        <f t="shared" si="216"/>
        <v>841012.53786092473</v>
      </c>
    </row>
    <row r="131" spans="1:57" x14ac:dyDescent="0.15">
      <c r="A131" s="39" t="s">
        <v>67</v>
      </c>
      <c r="G131" s="155">
        <v>46535.09</v>
      </c>
      <c r="H131" s="155">
        <f t="shared" si="257"/>
        <v>46535.09</v>
      </c>
      <c r="I131" s="155">
        <f t="shared" si="257"/>
        <v>46535.09</v>
      </c>
      <c r="J131" s="155">
        <f t="shared" si="257"/>
        <v>46535.09</v>
      </c>
      <c r="K131" s="155">
        <f t="shared" si="257"/>
        <v>46535.09</v>
      </c>
      <c r="L131" s="155">
        <f t="shared" si="257"/>
        <v>46535.09</v>
      </c>
      <c r="M131" s="155">
        <f t="shared" si="257"/>
        <v>46535.09</v>
      </c>
      <c r="N131" s="184">
        <f t="shared" si="209"/>
        <v>46535.09</v>
      </c>
      <c r="O131" s="155">
        <f t="shared" si="210"/>
        <v>46535.09</v>
      </c>
      <c r="P131" s="155">
        <f t="shared" ref="P131:Z131" si="274">+O131+SUMIF($B$332:$B$370,$A131,P$332:P$370)</f>
        <v>46535.09</v>
      </c>
      <c r="Q131" s="155">
        <f t="shared" si="274"/>
        <v>46535.09</v>
      </c>
      <c r="R131" s="155">
        <f t="shared" si="274"/>
        <v>46535.09</v>
      </c>
      <c r="S131" s="155">
        <f t="shared" si="274"/>
        <v>46535.09</v>
      </c>
      <c r="T131" s="155">
        <f t="shared" si="274"/>
        <v>46535.09</v>
      </c>
      <c r="U131" s="155">
        <f t="shared" si="274"/>
        <v>46535.09</v>
      </c>
      <c r="V131" s="155">
        <f t="shared" si="274"/>
        <v>46535.09</v>
      </c>
      <c r="W131" s="155">
        <f t="shared" si="274"/>
        <v>46535.09</v>
      </c>
      <c r="X131" s="155">
        <f t="shared" si="274"/>
        <v>46535.09</v>
      </c>
      <c r="Y131" s="155">
        <f t="shared" si="274"/>
        <v>46535.09</v>
      </c>
      <c r="Z131" s="155">
        <f t="shared" si="274"/>
        <v>46535.09</v>
      </c>
      <c r="AA131" s="184">
        <f t="shared" si="218"/>
        <v>46535.09</v>
      </c>
      <c r="AB131" s="155">
        <f t="shared" ref="AB131:AM131" si="275">+AA131+SUMIF($B$332:$B$370,$A131,AB$332:AB$370)</f>
        <v>46535.09</v>
      </c>
      <c r="AC131" s="155">
        <f t="shared" si="275"/>
        <v>46535.09</v>
      </c>
      <c r="AD131" s="155">
        <f t="shared" si="275"/>
        <v>46535.09</v>
      </c>
      <c r="AE131" s="155">
        <f t="shared" si="275"/>
        <v>46535.09</v>
      </c>
      <c r="AF131" s="155">
        <f t="shared" si="275"/>
        <v>46535.09</v>
      </c>
      <c r="AG131" s="155">
        <f t="shared" si="275"/>
        <v>46535.09</v>
      </c>
      <c r="AH131" s="155">
        <f t="shared" si="275"/>
        <v>46535.09</v>
      </c>
      <c r="AI131" s="155">
        <f t="shared" si="275"/>
        <v>46535.09</v>
      </c>
      <c r="AJ131" s="155">
        <f t="shared" si="275"/>
        <v>46535.09</v>
      </c>
      <c r="AK131" s="155">
        <f t="shared" si="275"/>
        <v>46535.09</v>
      </c>
      <c r="AL131" s="155">
        <f t="shared" si="275"/>
        <v>46535.09</v>
      </c>
      <c r="AM131" s="155">
        <f t="shared" si="275"/>
        <v>46535.09</v>
      </c>
      <c r="AN131" s="184">
        <f t="shared" si="220"/>
        <v>46535.09</v>
      </c>
      <c r="AO131" s="155"/>
      <c r="AQ131" s="155">
        <f t="shared" si="213"/>
        <v>46535.09</v>
      </c>
      <c r="AR131" s="155">
        <f t="shared" si="265"/>
        <v>0</v>
      </c>
      <c r="AS131" s="155">
        <f t="shared" si="262"/>
        <v>0</v>
      </c>
      <c r="AT131" s="155">
        <f t="shared" si="262"/>
        <v>0</v>
      </c>
      <c r="AU131" s="155">
        <f t="shared" si="262"/>
        <v>0</v>
      </c>
      <c r="AV131" s="155">
        <f t="shared" si="262"/>
        <v>0</v>
      </c>
      <c r="AW131" s="155">
        <f t="shared" si="262"/>
        <v>0</v>
      </c>
      <c r="AX131" s="155">
        <f t="shared" si="262"/>
        <v>0</v>
      </c>
      <c r="AY131" s="155">
        <f t="shared" si="262"/>
        <v>0</v>
      </c>
      <c r="AZ131" s="155">
        <f t="shared" si="262"/>
        <v>0</v>
      </c>
      <c r="BA131" s="155">
        <f t="shared" si="262"/>
        <v>0</v>
      </c>
      <c r="BB131" s="155">
        <f t="shared" si="262"/>
        <v>0</v>
      </c>
      <c r="BC131" s="155">
        <f t="shared" si="262"/>
        <v>0</v>
      </c>
      <c r="BD131" s="155">
        <f t="shared" si="215"/>
        <v>46535.09</v>
      </c>
      <c r="BE131" s="155">
        <f t="shared" si="216"/>
        <v>46535.09</v>
      </c>
    </row>
    <row r="132" spans="1:57" x14ac:dyDescent="0.15">
      <c r="A132" s="39" t="s">
        <v>68</v>
      </c>
      <c r="G132" s="155">
        <v>3129406.3</v>
      </c>
      <c r="H132" s="155">
        <f t="shared" si="257"/>
        <v>3129406.3</v>
      </c>
      <c r="I132" s="155">
        <f t="shared" si="257"/>
        <v>3129406.3</v>
      </c>
      <c r="J132" s="155">
        <f t="shared" si="257"/>
        <v>3113454.3155966313</v>
      </c>
      <c r="K132" s="155">
        <f t="shared" si="257"/>
        <v>3113454.3155966313</v>
      </c>
      <c r="L132" s="155">
        <f t="shared" si="257"/>
        <v>3113454.3155966313</v>
      </c>
      <c r="M132" s="155">
        <f t="shared" si="257"/>
        <v>3097502.3311932627</v>
      </c>
      <c r="N132" s="184">
        <f t="shared" si="209"/>
        <v>3097502.3311932627</v>
      </c>
      <c r="O132" s="155">
        <f t="shared" si="210"/>
        <v>3097502.3311932627</v>
      </c>
      <c r="P132" s="155">
        <f t="shared" ref="P132:Z132" si="276">+O132+SUMIF($B$332:$B$370,$A132,P$332:P$370)</f>
        <v>3097502.3311932627</v>
      </c>
      <c r="Q132" s="155">
        <f t="shared" si="276"/>
        <v>3081552.1593187121</v>
      </c>
      <c r="R132" s="155">
        <f t="shared" si="276"/>
        <v>3081552.1593187121</v>
      </c>
      <c r="S132" s="155">
        <f t="shared" si="276"/>
        <v>3081552.1593187121</v>
      </c>
      <c r="T132" s="155">
        <f t="shared" si="276"/>
        <v>3065601.9874441614</v>
      </c>
      <c r="U132" s="155">
        <f t="shared" si="276"/>
        <v>3065601.9874441614</v>
      </c>
      <c r="V132" s="155">
        <f t="shared" si="276"/>
        <v>3065601.9874441614</v>
      </c>
      <c r="W132" s="155">
        <f t="shared" si="276"/>
        <v>3049651.8155696108</v>
      </c>
      <c r="X132" s="155">
        <f t="shared" si="276"/>
        <v>3049651.8155696108</v>
      </c>
      <c r="Y132" s="155">
        <f t="shared" si="276"/>
        <v>3049651.8155696108</v>
      </c>
      <c r="Z132" s="155">
        <f t="shared" si="276"/>
        <v>3033701.6436950602</v>
      </c>
      <c r="AA132" s="184">
        <f t="shared" si="218"/>
        <v>3033701.6436950602</v>
      </c>
      <c r="AB132" s="155">
        <f t="shared" ref="AB132:AM132" si="277">+AA132+SUMIF($B$332:$B$370,$A132,AB$332:AB$370)</f>
        <v>3033701.6436950602</v>
      </c>
      <c r="AC132" s="155">
        <f t="shared" si="277"/>
        <v>3033701.6436950602</v>
      </c>
      <c r="AD132" s="155">
        <f t="shared" si="277"/>
        <v>3017707.7727194838</v>
      </c>
      <c r="AE132" s="155">
        <f t="shared" si="277"/>
        <v>3017707.7727194838</v>
      </c>
      <c r="AF132" s="155">
        <f t="shared" si="277"/>
        <v>3017707.7727194838</v>
      </c>
      <c r="AG132" s="155">
        <f t="shared" si="277"/>
        <v>3001713.9017439075</v>
      </c>
      <c r="AH132" s="155">
        <f t="shared" si="277"/>
        <v>3001713.9017439075</v>
      </c>
      <c r="AI132" s="155">
        <f t="shared" si="277"/>
        <v>3001713.9017439075</v>
      </c>
      <c r="AJ132" s="155">
        <f t="shared" si="277"/>
        <v>2985720.0307683311</v>
      </c>
      <c r="AK132" s="155">
        <f t="shared" si="277"/>
        <v>2985720.0307683311</v>
      </c>
      <c r="AL132" s="155">
        <f t="shared" si="277"/>
        <v>2985720.0307683311</v>
      </c>
      <c r="AM132" s="155">
        <f t="shared" si="277"/>
        <v>2969726.1597927548</v>
      </c>
      <c r="AN132" s="184">
        <f t="shared" si="220"/>
        <v>2969726.1597927548</v>
      </c>
      <c r="AO132" s="155"/>
      <c r="AQ132" s="155">
        <f t="shared" si="213"/>
        <v>3081552.1593187121</v>
      </c>
      <c r="AR132" s="155">
        <f t="shared" si="265"/>
        <v>-4883.0752307628909</v>
      </c>
      <c r="AS132" s="155">
        <f t="shared" si="262"/>
        <v>-4431.2085676176685</v>
      </c>
      <c r="AT132" s="155">
        <f t="shared" si="262"/>
        <v>-3993.9182484448725</v>
      </c>
      <c r="AU132" s="155">
        <f t="shared" si="262"/>
        <v>-3542.0515852996496</v>
      </c>
      <c r="AV132" s="155">
        <f t="shared" si="262"/>
        <v>-3104.7612661268536</v>
      </c>
      <c r="AW132" s="155">
        <f t="shared" si="262"/>
        <v>-2652.8946029816302</v>
      </c>
      <c r="AX132" s="155">
        <f t="shared" si="262"/>
        <v>-2201.0279398364078</v>
      </c>
      <c r="AY132" s="155">
        <f t="shared" si="262"/>
        <v>-1792.8903086084645</v>
      </c>
      <c r="AZ132" s="155">
        <f t="shared" si="262"/>
        <v>-1341.0236454632418</v>
      </c>
      <c r="BA132" s="155">
        <f t="shared" si="262"/>
        <v>-903.73332629044546</v>
      </c>
      <c r="BB132" s="155">
        <f t="shared" si="262"/>
        <v>-451.86666314522273</v>
      </c>
      <c r="BC132" s="155">
        <f t="shared" si="262"/>
        <v>-14.576343972426541</v>
      </c>
      <c r="BD132" s="155">
        <f t="shared" si="215"/>
        <v>3017707.7727194838</v>
      </c>
      <c r="BE132" s="155">
        <f t="shared" si="216"/>
        <v>3052239.1315901629</v>
      </c>
    </row>
    <row r="133" spans="1:57" x14ac:dyDescent="0.15">
      <c r="A133" s="39" t="s">
        <v>69</v>
      </c>
      <c r="G133" s="155">
        <v>-3163717.56</v>
      </c>
      <c r="H133" s="155">
        <f t="shared" si="257"/>
        <v>-3163717.56</v>
      </c>
      <c r="I133" s="155">
        <f t="shared" si="257"/>
        <v>-3163717.56</v>
      </c>
      <c r="J133" s="155">
        <f t="shared" si="257"/>
        <v>-3137106.3784986576</v>
      </c>
      <c r="K133" s="155">
        <f t="shared" si="257"/>
        <v>-3137106.3784986576</v>
      </c>
      <c r="L133" s="155">
        <f t="shared" si="257"/>
        <v>-3137106.3784986576</v>
      </c>
      <c r="M133" s="155">
        <f t="shared" si="257"/>
        <v>-3110495.1969973152</v>
      </c>
      <c r="N133" s="184">
        <f t="shared" si="209"/>
        <v>-3110495.1969973152</v>
      </c>
      <c r="O133" s="155">
        <f t="shared" si="210"/>
        <v>-3110495.1969973152</v>
      </c>
      <c r="P133" s="155">
        <f t="shared" ref="P133:Z133" si="278">+O133+SUMIF($B$332:$B$370,$A133,P$332:P$370)</f>
        <v>-3110495.1969973152</v>
      </c>
      <c r="Q133" s="155">
        <f t="shared" si="278"/>
        <v>-3083884.0150149688</v>
      </c>
      <c r="R133" s="155">
        <f t="shared" si="278"/>
        <v>-3083884.0150149688</v>
      </c>
      <c r="S133" s="155">
        <f t="shared" si="278"/>
        <v>-3083884.0150149688</v>
      </c>
      <c r="T133" s="155">
        <f t="shared" si="278"/>
        <v>-3057272.8330326225</v>
      </c>
      <c r="U133" s="155">
        <f t="shared" si="278"/>
        <v>-3057272.8330326225</v>
      </c>
      <c r="V133" s="155">
        <f t="shared" si="278"/>
        <v>-3057272.8330326225</v>
      </c>
      <c r="W133" s="155">
        <f t="shared" si="278"/>
        <v>-3030661.6510502761</v>
      </c>
      <c r="X133" s="155">
        <f t="shared" si="278"/>
        <v>-3030661.6510502761</v>
      </c>
      <c r="Y133" s="155">
        <f t="shared" si="278"/>
        <v>-3030661.6510502761</v>
      </c>
      <c r="Z133" s="155">
        <f t="shared" si="278"/>
        <v>-3004050.4690679298</v>
      </c>
      <c r="AA133" s="184">
        <f t="shared" si="218"/>
        <v>-3004050.4690679298</v>
      </c>
      <c r="AB133" s="155">
        <f t="shared" ref="AB133:AM133" si="279">+AA133+SUMIF($B$332:$B$370,$A133,AB$332:AB$370)</f>
        <v>-3004050.4690679298</v>
      </c>
      <c r="AC133" s="155">
        <f t="shared" si="279"/>
        <v>-3004050.4690679298</v>
      </c>
      <c r="AD133" s="155">
        <f t="shared" si="279"/>
        <v>-2977366.3797376868</v>
      </c>
      <c r="AE133" s="155">
        <f t="shared" si="279"/>
        <v>-2977366.3797376868</v>
      </c>
      <c r="AF133" s="155">
        <f t="shared" si="279"/>
        <v>-2977366.3797376868</v>
      </c>
      <c r="AG133" s="155">
        <f t="shared" si="279"/>
        <v>-2950682.2904074439</v>
      </c>
      <c r="AH133" s="155">
        <f t="shared" si="279"/>
        <v>-2950682.2904074439</v>
      </c>
      <c r="AI133" s="155">
        <f t="shared" si="279"/>
        <v>-2950682.2904074439</v>
      </c>
      <c r="AJ133" s="155">
        <f t="shared" si="279"/>
        <v>-2923998.2010772009</v>
      </c>
      <c r="AK133" s="155">
        <f t="shared" si="279"/>
        <v>-2923998.2010772009</v>
      </c>
      <c r="AL133" s="155">
        <f t="shared" si="279"/>
        <v>-2923998.2010772009</v>
      </c>
      <c r="AM133" s="155">
        <f t="shared" si="279"/>
        <v>-2897314.111746958</v>
      </c>
      <c r="AN133" s="184">
        <f t="shared" si="220"/>
        <v>-2897314.111746958</v>
      </c>
      <c r="AO133" s="155"/>
      <c r="AQ133" s="155">
        <f t="shared" si="213"/>
        <v>-3083884.0150149688</v>
      </c>
      <c r="AR133" s="155">
        <f t="shared" si="265"/>
        <v>8146.8967620752201</v>
      </c>
      <c r="AS133" s="155">
        <f t="shared" si="262"/>
        <v>7393.0048228981104</v>
      </c>
      <c r="AT133" s="155">
        <f t="shared" si="262"/>
        <v>6663.4319785331654</v>
      </c>
      <c r="AU133" s="155">
        <f t="shared" si="262"/>
        <v>5909.5400393560558</v>
      </c>
      <c r="AV133" s="155">
        <f t="shared" si="262"/>
        <v>5179.9671949911108</v>
      </c>
      <c r="AW133" s="155">
        <f t="shared" si="262"/>
        <v>4426.0752558140002</v>
      </c>
      <c r="AX133" s="155">
        <f t="shared" si="262"/>
        <v>3672.1833166368906</v>
      </c>
      <c r="AY133" s="155">
        <f t="shared" si="262"/>
        <v>2991.2486618962748</v>
      </c>
      <c r="AZ133" s="155">
        <f t="shared" si="262"/>
        <v>2237.3567227191652</v>
      </c>
      <c r="BA133" s="155">
        <f t="shared" si="262"/>
        <v>1507.7838783542197</v>
      </c>
      <c r="BB133" s="155">
        <f t="shared" si="262"/>
        <v>753.89193917710986</v>
      </c>
      <c r="BC133" s="155">
        <f t="shared" si="262"/>
        <v>24.319094812164835</v>
      </c>
      <c r="BD133" s="155">
        <f t="shared" si="215"/>
        <v>-2977366.3797376868</v>
      </c>
      <c r="BE133" s="155">
        <f t="shared" si="216"/>
        <v>-3034978.3153477055</v>
      </c>
    </row>
    <row r="134" spans="1:57" x14ac:dyDescent="0.15">
      <c r="A134" s="39" t="s">
        <v>89</v>
      </c>
      <c r="G134" s="155">
        <v>43642.29</v>
      </c>
      <c r="H134" s="155">
        <f t="shared" ref="H134:M143" si="280">+G134+SUMIF($B$332:$B$370,$A134,H$332:H$370)</f>
        <v>43642.29</v>
      </c>
      <c r="I134" s="155">
        <f t="shared" si="280"/>
        <v>43642.29</v>
      </c>
      <c r="J134" s="155">
        <f t="shared" si="280"/>
        <v>43642.29</v>
      </c>
      <c r="K134" s="155">
        <f t="shared" si="280"/>
        <v>43642.29</v>
      </c>
      <c r="L134" s="155">
        <f t="shared" si="280"/>
        <v>43642.29</v>
      </c>
      <c r="M134" s="155">
        <f t="shared" si="280"/>
        <v>43642.29</v>
      </c>
      <c r="N134" s="184">
        <f t="shared" si="209"/>
        <v>43642.29</v>
      </c>
      <c r="O134" s="155">
        <f t="shared" si="210"/>
        <v>43642.29</v>
      </c>
      <c r="P134" s="155">
        <f t="shared" ref="P134:Z134" si="281">+O134+SUMIF($B$332:$B$370,$A134,P$332:P$370)</f>
        <v>43642.29</v>
      </c>
      <c r="Q134" s="155">
        <f t="shared" si="281"/>
        <v>43642.29</v>
      </c>
      <c r="R134" s="155">
        <f t="shared" si="281"/>
        <v>43642.29</v>
      </c>
      <c r="S134" s="155">
        <f t="shared" si="281"/>
        <v>43642.29</v>
      </c>
      <c r="T134" s="155">
        <f t="shared" si="281"/>
        <v>43642.29</v>
      </c>
      <c r="U134" s="155">
        <f t="shared" si="281"/>
        <v>43642.29</v>
      </c>
      <c r="V134" s="155">
        <f t="shared" si="281"/>
        <v>43642.29</v>
      </c>
      <c r="W134" s="155">
        <f t="shared" si="281"/>
        <v>43642.29</v>
      </c>
      <c r="X134" s="155">
        <f t="shared" si="281"/>
        <v>43642.29</v>
      </c>
      <c r="Y134" s="155">
        <f t="shared" si="281"/>
        <v>43642.29</v>
      </c>
      <c r="Z134" s="155">
        <f t="shared" si="281"/>
        <v>43642.29</v>
      </c>
      <c r="AA134" s="184">
        <f t="shared" si="218"/>
        <v>43642.29</v>
      </c>
      <c r="AB134" s="155">
        <f t="shared" ref="AB134:AM134" si="282">+AA134+SUMIF($B$332:$B$370,$A134,AB$332:AB$370)</f>
        <v>43642.29</v>
      </c>
      <c r="AC134" s="155">
        <f t="shared" si="282"/>
        <v>43642.29</v>
      </c>
      <c r="AD134" s="155">
        <f t="shared" si="282"/>
        <v>43642.29</v>
      </c>
      <c r="AE134" s="155">
        <f t="shared" si="282"/>
        <v>43642.29</v>
      </c>
      <c r="AF134" s="155">
        <f t="shared" si="282"/>
        <v>43642.29</v>
      </c>
      <c r="AG134" s="155">
        <f t="shared" si="282"/>
        <v>43642.29</v>
      </c>
      <c r="AH134" s="155">
        <f t="shared" si="282"/>
        <v>43642.29</v>
      </c>
      <c r="AI134" s="155">
        <f t="shared" si="282"/>
        <v>43642.29</v>
      </c>
      <c r="AJ134" s="155">
        <f t="shared" si="282"/>
        <v>43642.29</v>
      </c>
      <c r="AK134" s="155">
        <f t="shared" si="282"/>
        <v>43642.29</v>
      </c>
      <c r="AL134" s="155">
        <f t="shared" si="282"/>
        <v>43642.29</v>
      </c>
      <c r="AM134" s="155">
        <f t="shared" si="282"/>
        <v>43642.29</v>
      </c>
      <c r="AN134" s="184">
        <f t="shared" si="220"/>
        <v>43642.29</v>
      </c>
      <c r="AO134" s="155"/>
      <c r="AQ134" s="155">
        <f t="shared" si="213"/>
        <v>43642.29</v>
      </c>
      <c r="AR134" s="155">
        <f t="shared" si="265"/>
        <v>0</v>
      </c>
      <c r="AS134" s="155">
        <f t="shared" si="262"/>
        <v>0</v>
      </c>
      <c r="AT134" s="155">
        <f t="shared" si="262"/>
        <v>0</v>
      </c>
      <c r="AU134" s="155">
        <f t="shared" si="262"/>
        <v>0</v>
      </c>
      <c r="AV134" s="155">
        <f t="shared" si="262"/>
        <v>0</v>
      </c>
      <c r="AW134" s="155">
        <f t="shared" si="262"/>
        <v>0</v>
      </c>
      <c r="AX134" s="155">
        <f t="shared" si="262"/>
        <v>0</v>
      </c>
      <c r="AY134" s="155">
        <f t="shared" si="262"/>
        <v>0</v>
      </c>
      <c r="AZ134" s="155">
        <f t="shared" si="262"/>
        <v>0</v>
      </c>
      <c r="BA134" s="155">
        <f t="shared" si="262"/>
        <v>0</v>
      </c>
      <c r="BB134" s="155">
        <f t="shared" si="262"/>
        <v>0</v>
      </c>
      <c r="BC134" s="155">
        <f t="shared" si="262"/>
        <v>0</v>
      </c>
      <c r="BD134" s="155">
        <f t="shared" si="215"/>
        <v>43642.29</v>
      </c>
      <c r="BE134" s="155">
        <f t="shared" si="216"/>
        <v>43642.29</v>
      </c>
    </row>
    <row r="135" spans="1:57" x14ac:dyDescent="0.15">
      <c r="A135" s="39" t="s">
        <v>269</v>
      </c>
      <c r="G135" s="155">
        <f>1938593.24</f>
        <v>1938593.24</v>
      </c>
      <c r="H135" s="155">
        <f t="shared" si="280"/>
        <v>1938593.24</v>
      </c>
      <c r="I135" s="155">
        <f t="shared" si="280"/>
        <v>1938593.24</v>
      </c>
      <c r="J135" s="155">
        <f t="shared" si="280"/>
        <v>1458688.7415461116</v>
      </c>
      <c r="K135" s="155">
        <f t="shared" si="280"/>
        <v>1458688.7415461116</v>
      </c>
      <c r="L135" s="155">
        <f t="shared" si="280"/>
        <v>1458688.7415461116</v>
      </c>
      <c r="M135" s="155">
        <f t="shared" si="280"/>
        <v>652522.8348699722</v>
      </c>
      <c r="N135" s="184">
        <f t="shared" si="209"/>
        <v>652522.8348699722</v>
      </c>
      <c r="O135" s="155">
        <f t="shared" si="210"/>
        <v>652522.8348699722</v>
      </c>
      <c r="P135" s="155">
        <f t="shared" ref="P135:Y135" si="283">+O135+SUMIF($B$332:$B$370,$A135,P$332:P$370)</f>
        <v>652522.8348699722</v>
      </c>
      <c r="Q135" s="155">
        <f t="shared" si="283"/>
        <v>424448.26861582301</v>
      </c>
      <c r="R135" s="155">
        <f t="shared" si="283"/>
        <v>424448.26861582301</v>
      </c>
      <c r="S135" s="155">
        <f t="shared" si="283"/>
        <v>424448.26861582301</v>
      </c>
      <c r="T135" s="155">
        <f t="shared" si="283"/>
        <v>196373.70236546407</v>
      </c>
      <c r="U135" s="155">
        <f t="shared" si="283"/>
        <v>196373.70236546407</v>
      </c>
      <c r="V135" s="155">
        <f t="shared" si="283"/>
        <v>196373.70236546407</v>
      </c>
      <c r="W135" s="155">
        <f>+V135+SUMIF($B$332:$B$370,$A135,W$332:W$370)+31701+386705-259775</f>
        <v>126930.13612613588</v>
      </c>
      <c r="X135" s="155">
        <f t="shared" si="283"/>
        <v>126930.13612613588</v>
      </c>
      <c r="Y135" s="155">
        <f t="shared" si="283"/>
        <v>126930.13612613588</v>
      </c>
      <c r="Z135" s="155">
        <f>+Y135+SUMIF($B$332:$B$370,$A135,Z$332:Z$370)+228074</f>
        <v>126929.56989883617</v>
      </c>
      <c r="AA135" s="184">
        <f>+Z135</f>
        <v>126929.56989883617</v>
      </c>
      <c r="AB135" s="155">
        <f t="shared" ref="AB135:AM135" si="284">+AA135+SUMIF($B$332:$B$370,$A135,AB$332:AB$370)</f>
        <v>126929.56989883617</v>
      </c>
      <c r="AC135" s="155">
        <f t="shared" si="284"/>
        <v>126929.56989883617</v>
      </c>
      <c r="AD135" s="155">
        <f t="shared" si="284"/>
        <v>95197.262191161586</v>
      </c>
      <c r="AE135" s="155">
        <f t="shared" si="284"/>
        <v>95197.262191161586</v>
      </c>
      <c r="AF135" s="155">
        <f t="shared" si="284"/>
        <v>95197.262191161586</v>
      </c>
      <c r="AG135" s="155">
        <f t="shared" si="284"/>
        <v>63464.954483487003</v>
      </c>
      <c r="AH135" s="155">
        <f t="shared" si="284"/>
        <v>63464.954483487003</v>
      </c>
      <c r="AI135" s="155">
        <f t="shared" si="284"/>
        <v>63464.954483487003</v>
      </c>
      <c r="AJ135" s="155">
        <f t="shared" si="284"/>
        <v>31732.646775812424</v>
      </c>
      <c r="AK135" s="155">
        <f t="shared" si="284"/>
        <v>31732.646775812424</v>
      </c>
      <c r="AL135" s="155">
        <f t="shared" si="284"/>
        <v>31732.646775812424</v>
      </c>
      <c r="AM135" s="155">
        <f t="shared" si="284"/>
        <v>0.33906813784415135</v>
      </c>
      <c r="AN135" s="184">
        <f>+AM135</f>
        <v>0.33906813784415135</v>
      </c>
      <c r="AO135" s="155"/>
      <c r="AQ135" s="155">
        <f t="shared" si="213"/>
        <v>424448.26861582301</v>
      </c>
      <c r="AR135" s="155">
        <f t="shared" si="265"/>
        <v>-25182.439989100818</v>
      </c>
      <c r="AS135" s="155">
        <f t="shared" si="262"/>
        <v>-22852.124646825818</v>
      </c>
      <c r="AT135" s="155">
        <f t="shared" si="262"/>
        <v>-20596.980767204848</v>
      </c>
      <c r="AU135" s="155">
        <f t="shared" si="262"/>
        <v>-18266.665424929848</v>
      </c>
      <c r="AV135" s="155">
        <f t="shared" si="262"/>
        <v>-16011.52154530888</v>
      </c>
      <c r="AW135" s="155">
        <f t="shared" si="262"/>
        <v>-13681.206203033878</v>
      </c>
      <c r="AX135" s="155">
        <f t="shared" si="262"/>
        <v>-11350.890860758876</v>
      </c>
      <c r="AY135" s="155">
        <f t="shared" si="262"/>
        <v>-9246.0899064459718</v>
      </c>
      <c r="AZ135" s="155">
        <f t="shared" si="262"/>
        <v>-6915.7745641709716</v>
      </c>
      <c r="BA135" s="155">
        <f t="shared" si="262"/>
        <v>-4660.6306845500021</v>
      </c>
      <c r="BB135" s="155">
        <f t="shared" si="262"/>
        <v>-2330.3153422750011</v>
      </c>
      <c r="BC135" s="155">
        <f t="shared" si="262"/>
        <v>-75.171462654032297</v>
      </c>
      <c r="BD135" s="155">
        <f t="shared" si="215"/>
        <v>95197.262191161586</v>
      </c>
      <c r="BE135" s="155">
        <f t="shared" si="216"/>
        <v>273278.45721856406</v>
      </c>
    </row>
    <row r="136" spans="1:57" x14ac:dyDescent="0.15">
      <c r="A136" s="39" t="s">
        <v>71</v>
      </c>
      <c r="G136" s="155">
        <v>-10307619.85</v>
      </c>
      <c r="H136" s="155">
        <f t="shared" si="280"/>
        <v>-10307619.85</v>
      </c>
      <c r="I136" s="155">
        <f t="shared" si="280"/>
        <v>-10307619.85</v>
      </c>
      <c r="J136" s="155">
        <f t="shared" si="280"/>
        <v>-10307619.85</v>
      </c>
      <c r="K136" s="155">
        <f t="shared" si="280"/>
        <v>-10307619.85</v>
      </c>
      <c r="L136" s="155">
        <f t="shared" si="280"/>
        <v>-10307619.85</v>
      </c>
      <c r="M136" s="155">
        <f t="shared" si="280"/>
        <v>-10307619.85</v>
      </c>
      <c r="N136" s="184">
        <f t="shared" ref="N136:N152" si="285">+M136</f>
        <v>-10307619.85</v>
      </c>
      <c r="O136" s="155">
        <f t="shared" ref="O136:O152" si="286">+N136+SUMIF($B$332:$B$370,$A136,O$332:O$370)</f>
        <v>-10307619.85</v>
      </c>
      <c r="P136" s="155">
        <f t="shared" ref="P136:Z136" si="287">+O136+SUMIF($B$332:$B$370,$A136,P$332:P$370)</f>
        <v>-10307619.85</v>
      </c>
      <c r="Q136" s="155">
        <f t="shared" si="287"/>
        <v>-10307619.85</v>
      </c>
      <c r="R136" s="155">
        <f t="shared" si="287"/>
        <v>-10307619.85</v>
      </c>
      <c r="S136" s="155">
        <f t="shared" si="287"/>
        <v>-10307619.85</v>
      </c>
      <c r="T136" s="155">
        <f t="shared" si="287"/>
        <v>-10307619.85</v>
      </c>
      <c r="U136" s="155">
        <f t="shared" si="287"/>
        <v>-10307619.85</v>
      </c>
      <c r="V136" s="155">
        <f t="shared" si="287"/>
        <v>-10307619.85</v>
      </c>
      <c r="W136" s="155">
        <f t="shared" si="287"/>
        <v>-10307619.85</v>
      </c>
      <c r="X136" s="155">
        <f t="shared" si="287"/>
        <v>-10307619.85</v>
      </c>
      <c r="Y136" s="155">
        <f t="shared" si="287"/>
        <v>-10307619.85</v>
      </c>
      <c r="Z136" s="155">
        <f t="shared" si="287"/>
        <v>-10307619.85</v>
      </c>
      <c r="AA136" s="184">
        <f t="shared" si="218"/>
        <v>-10307619.85</v>
      </c>
      <c r="AB136" s="155">
        <f t="shared" ref="AB136:AM136" si="288">+AA136+SUMIF($B$332:$B$370,$A136,AB$332:AB$370)</f>
        <v>-10307619.85</v>
      </c>
      <c r="AC136" s="155">
        <f t="shared" si="288"/>
        <v>-10307619.85</v>
      </c>
      <c r="AD136" s="155">
        <f t="shared" si="288"/>
        <v>-10307619.85</v>
      </c>
      <c r="AE136" s="155">
        <f t="shared" si="288"/>
        <v>-10307619.85</v>
      </c>
      <c r="AF136" s="155">
        <f t="shared" si="288"/>
        <v>-10307619.85</v>
      </c>
      <c r="AG136" s="155">
        <f t="shared" si="288"/>
        <v>-10307619.85</v>
      </c>
      <c r="AH136" s="155">
        <f t="shared" si="288"/>
        <v>-10307619.85</v>
      </c>
      <c r="AI136" s="155">
        <f t="shared" si="288"/>
        <v>-10307619.85</v>
      </c>
      <c r="AJ136" s="155">
        <f t="shared" si="288"/>
        <v>-10307619.85</v>
      </c>
      <c r="AK136" s="155">
        <f t="shared" si="288"/>
        <v>-10307619.85</v>
      </c>
      <c r="AL136" s="155">
        <f t="shared" si="288"/>
        <v>-10307619.85</v>
      </c>
      <c r="AM136" s="155">
        <f t="shared" si="288"/>
        <v>-10307619.85</v>
      </c>
      <c r="AN136" s="184">
        <f t="shared" si="220"/>
        <v>-10307619.85</v>
      </c>
      <c r="AO136" s="155"/>
      <c r="AQ136" s="155">
        <f t="shared" ref="AQ136:AQ152" si="289">+R136</f>
        <v>-10307619.85</v>
      </c>
      <c r="AR136" s="155">
        <f t="shared" si="265"/>
        <v>0</v>
      </c>
      <c r="AS136" s="155">
        <f t="shared" si="262"/>
        <v>0</v>
      </c>
      <c r="AT136" s="155">
        <f t="shared" si="262"/>
        <v>0</v>
      </c>
      <c r="AU136" s="155">
        <f t="shared" si="262"/>
        <v>0</v>
      </c>
      <c r="AV136" s="155">
        <f t="shared" si="262"/>
        <v>0</v>
      </c>
      <c r="AW136" s="155">
        <f t="shared" si="262"/>
        <v>0</v>
      </c>
      <c r="AX136" s="155">
        <f t="shared" si="262"/>
        <v>0</v>
      </c>
      <c r="AY136" s="155">
        <f t="shared" si="262"/>
        <v>0</v>
      </c>
      <c r="AZ136" s="155">
        <f t="shared" si="262"/>
        <v>0</v>
      </c>
      <c r="BA136" s="155">
        <f t="shared" si="262"/>
        <v>0</v>
      </c>
      <c r="BB136" s="155">
        <f t="shared" si="262"/>
        <v>0</v>
      </c>
      <c r="BC136" s="155">
        <f t="shared" si="262"/>
        <v>0</v>
      </c>
      <c r="BD136" s="155">
        <f t="shared" ref="BD136:BD152" si="290">+AE136</f>
        <v>-10307619.85</v>
      </c>
      <c r="BE136" s="155">
        <f t="shared" si="216"/>
        <v>-10307619.85</v>
      </c>
    </row>
    <row r="137" spans="1:57" x14ac:dyDescent="0.15">
      <c r="A137" s="39" t="s">
        <v>72</v>
      </c>
      <c r="G137" s="155">
        <v>13594.72</v>
      </c>
      <c r="H137" s="155">
        <f t="shared" si="280"/>
        <v>13594.72</v>
      </c>
      <c r="I137" s="155">
        <f t="shared" si="280"/>
        <v>13594.72</v>
      </c>
      <c r="J137" s="155">
        <f t="shared" si="280"/>
        <v>13594.72</v>
      </c>
      <c r="K137" s="155">
        <f t="shared" si="280"/>
        <v>13594.72</v>
      </c>
      <c r="L137" s="155">
        <f t="shared" si="280"/>
        <v>13594.72</v>
      </c>
      <c r="M137" s="155">
        <f t="shared" si="280"/>
        <v>13594.72</v>
      </c>
      <c r="N137" s="184">
        <f t="shared" si="285"/>
        <v>13594.72</v>
      </c>
      <c r="O137" s="155">
        <f t="shared" si="286"/>
        <v>13594.72</v>
      </c>
      <c r="P137" s="155">
        <f t="shared" ref="P137:Z137" si="291">+O137+SUMIF($B$332:$B$370,$A137,P$332:P$370)</f>
        <v>13594.72</v>
      </c>
      <c r="Q137" s="155">
        <f t="shared" si="291"/>
        <v>13594.72</v>
      </c>
      <c r="R137" s="155">
        <f t="shared" si="291"/>
        <v>13594.72</v>
      </c>
      <c r="S137" s="155">
        <f t="shared" si="291"/>
        <v>13594.72</v>
      </c>
      <c r="T137" s="155">
        <f t="shared" si="291"/>
        <v>13594.72</v>
      </c>
      <c r="U137" s="155">
        <f t="shared" si="291"/>
        <v>13594.72</v>
      </c>
      <c r="V137" s="155">
        <f t="shared" si="291"/>
        <v>13594.72</v>
      </c>
      <c r="W137" s="155">
        <f t="shared" si="291"/>
        <v>13594.72</v>
      </c>
      <c r="X137" s="155">
        <f t="shared" si="291"/>
        <v>13594.72</v>
      </c>
      <c r="Y137" s="155">
        <f t="shared" si="291"/>
        <v>13594.72</v>
      </c>
      <c r="Z137" s="155">
        <f t="shared" si="291"/>
        <v>13594.72</v>
      </c>
      <c r="AA137" s="184">
        <f t="shared" si="218"/>
        <v>13594.72</v>
      </c>
      <c r="AB137" s="155">
        <f t="shared" ref="AB137:AM137" si="292">+AA137+SUMIF($B$332:$B$370,$A137,AB$332:AB$370)</f>
        <v>13594.72</v>
      </c>
      <c r="AC137" s="155">
        <f t="shared" si="292"/>
        <v>13594.72</v>
      </c>
      <c r="AD137" s="155">
        <f t="shared" si="292"/>
        <v>13594.72</v>
      </c>
      <c r="AE137" s="155">
        <f t="shared" si="292"/>
        <v>13594.72</v>
      </c>
      <c r="AF137" s="155">
        <f t="shared" si="292"/>
        <v>13594.72</v>
      </c>
      <c r="AG137" s="155">
        <f t="shared" si="292"/>
        <v>13594.72</v>
      </c>
      <c r="AH137" s="155">
        <f t="shared" si="292"/>
        <v>13594.72</v>
      </c>
      <c r="AI137" s="155">
        <f t="shared" si="292"/>
        <v>13594.72</v>
      </c>
      <c r="AJ137" s="155">
        <f t="shared" si="292"/>
        <v>13594.72</v>
      </c>
      <c r="AK137" s="155">
        <f t="shared" si="292"/>
        <v>13594.72</v>
      </c>
      <c r="AL137" s="155">
        <f t="shared" si="292"/>
        <v>13594.72</v>
      </c>
      <c r="AM137" s="155">
        <f t="shared" si="292"/>
        <v>13594.72</v>
      </c>
      <c r="AN137" s="184">
        <f t="shared" si="220"/>
        <v>13594.72</v>
      </c>
      <c r="AO137" s="155"/>
      <c r="AQ137" s="155">
        <f t="shared" si="289"/>
        <v>13594.72</v>
      </c>
      <c r="AR137" s="155">
        <f t="shared" si="265"/>
        <v>0</v>
      </c>
      <c r="AS137" s="155">
        <f t="shared" si="262"/>
        <v>0</v>
      </c>
      <c r="AT137" s="155">
        <f t="shared" si="262"/>
        <v>0</v>
      </c>
      <c r="AU137" s="155">
        <f t="shared" si="262"/>
        <v>0</v>
      </c>
      <c r="AV137" s="155">
        <f t="shared" si="262"/>
        <v>0</v>
      </c>
      <c r="AW137" s="155">
        <f t="shared" si="262"/>
        <v>0</v>
      </c>
      <c r="AX137" s="155">
        <f t="shared" si="262"/>
        <v>0</v>
      </c>
      <c r="AY137" s="155">
        <f t="shared" si="262"/>
        <v>0</v>
      </c>
      <c r="AZ137" s="155">
        <f t="shared" si="262"/>
        <v>0</v>
      </c>
      <c r="BA137" s="155">
        <f t="shared" si="262"/>
        <v>0</v>
      </c>
      <c r="BB137" s="155">
        <f t="shared" si="262"/>
        <v>0</v>
      </c>
      <c r="BC137" s="155">
        <f t="shared" si="262"/>
        <v>0</v>
      </c>
      <c r="BD137" s="155">
        <f t="shared" si="290"/>
        <v>13594.72</v>
      </c>
      <c r="BE137" s="155">
        <f t="shared" si="216"/>
        <v>13594.72</v>
      </c>
    </row>
    <row r="138" spans="1:57" x14ac:dyDescent="0.15">
      <c r="A138" s="39" t="s">
        <v>73</v>
      </c>
      <c r="G138" s="155">
        <v>-271132.93</v>
      </c>
      <c r="H138" s="155">
        <f t="shared" si="280"/>
        <v>-271132.93</v>
      </c>
      <c r="I138" s="155">
        <f t="shared" si="280"/>
        <v>-271132.93</v>
      </c>
      <c r="J138" s="155">
        <f t="shared" si="280"/>
        <v>-271132.93</v>
      </c>
      <c r="K138" s="155">
        <f t="shared" si="280"/>
        <v>-271132.93</v>
      </c>
      <c r="L138" s="155">
        <f t="shared" si="280"/>
        <v>-271132.93</v>
      </c>
      <c r="M138" s="155">
        <f t="shared" si="280"/>
        <v>-271132.93</v>
      </c>
      <c r="N138" s="184">
        <f t="shared" si="285"/>
        <v>-271132.93</v>
      </c>
      <c r="O138" s="155">
        <f t="shared" si="286"/>
        <v>-271132.93</v>
      </c>
      <c r="P138" s="155">
        <f t="shared" ref="P138:Z138" si="293">+O138+SUMIF($B$332:$B$370,$A138,P$332:P$370)</f>
        <v>-271132.93</v>
      </c>
      <c r="Q138" s="155">
        <f t="shared" si="293"/>
        <v>-271132.93</v>
      </c>
      <c r="R138" s="155">
        <f t="shared" si="293"/>
        <v>-271132.93</v>
      </c>
      <c r="S138" s="155">
        <f t="shared" si="293"/>
        <v>-271132.93</v>
      </c>
      <c r="T138" s="155">
        <f t="shared" si="293"/>
        <v>-271132.93</v>
      </c>
      <c r="U138" s="155">
        <f t="shared" si="293"/>
        <v>-271132.93</v>
      </c>
      <c r="V138" s="155">
        <f t="shared" si="293"/>
        <v>-271132.93</v>
      </c>
      <c r="W138" s="155">
        <f t="shared" si="293"/>
        <v>-271132.93</v>
      </c>
      <c r="X138" s="155">
        <f t="shared" si="293"/>
        <v>-271132.93</v>
      </c>
      <c r="Y138" s="155">
        <f t="shared" si="293"/>
        <v>-271132.93</v>
      </c>
      <c r="Z138" s="155">
        <f t="shared" si="293"/>
        <v>-271132.93</v>
      </c>
      <c r="AA138" s="184">
        <f t="shared" si="218"/>
        <v>-271132.93</v>
      </c>
      <c r="AB138" s="155">
        <f t="shared" ref="AB138:AM138" si="294">+AA138+SUMIF($B$332:$B$370,$A138,AB$332:AB$370)</f>
        <v>-271132.93</v>
      </c>
      <c r="AC138" s="155">
        <f t="shared" si="294"/>
        <v>-271132.93</v>
      </c>
      <c r="AD138" s="155">
        <f t="shared" si="294"/>
        <v>-271132.93</v>
      </c>
      <c r="AE138" s="155">
        <f t="shared" si="294"/>
        <v>-271132.93</v>
      </c>
      <c r="AF138" s="155">
        <f t="shared" si="294"/>
        <v>-271132.93</v>
      </c>
      <c r="AG138" s="155">
        <f t="shared" si="294"/>
        <v>-271132.93</v>
      </c>
      <c r="AH138" s="155">
        <f t="shared" si="294"/>
        <v>-271132.93</v>
      </c>
      <c r="AI138" s="155">
        <f t="shared" si="294"/>
        <v>-271132.93</v>
      </c>
      <c r="AJ138" s="155">
        <f t="shared" si="294"/>
        <v>-271132.93</v>
      </c>
      <c r="AK138" s="155">
        <f t="shared" si="294"/>
        <v>-271132.93</v>
      </c>
      <c r="AL138" s="155">
        <f t="shared" si="294"/>
        <v>-271132.93</v>
      </c>
      <c r="AM138" s="155">
        <f t="shared" si="294"/>
        <v>-271132.93</v>
      </c>
      <c r="AN138" s="184">
        <f t="shared" si="220"/>
        <v>-271132.93</v>
      </c>
      <c r="AO138" s="155"/>
      <c r="AQ138" s="155">
        <f t="shared" si="289"/>
        <v>-271132.93</v>
      </c>
      <c r="AR138" s="155">
        <f t="shared" si="265"/>
        <v>0</v>
      </c>
      <c r="AS138" s="155">
        <f t="shared" si="262"/>
        <v>0</v>
      </c>
      <c r="AT138" s="155">
        <f t="shared" si="262"/>
        <v>0</v>
      </c>
      <c r="AU138" s="155">
        <f t="shared" si="262"/>
        <v>0</v>
      </c>
      <c r="AV138" s="155">
        <f t="shared" si="262"/>
        <v>0</v>
      </c>
      <c r="AW138" s="155">
        <f t="shared" si="262"/>
        <v>0</v>
      </c>
      <c r="AX138" s="155">
        <f t="shared" si="262"/>
        <v>0</v>
      </c>
      <c r="AY138" s="155">
        <f t="shared" si="262"/>
        <v>0</v>
      </c>
      <c r="AZ138" s="155">
        <f t="shared" si="262"/>
        <v>0</v>
      </c>
      <c r="BA138" s="155">
        <f t="shared" si="262"/>
        <v>0</v>
      </c>
      <c r="BB138" s="155">
        <f t="shared" si="262"/>
        <v>0</v>
      </c>
      <c r="BC138" s="155">
        <f t="shared" si="262"/>
        <v>0</v>
      </c>
      <c r="BD138" s="155">
        <f t="shared" si="290"/>
        <v>-271132.93</v>
      </c>
      <c r="BE138" s="155">
        <f t="shared" si="216"/>
        <v>-271132.93</v>
      </c>
    </row>
    <row r="139" spans="1:57" x14ac:dyDescent="0.15">
      <c r="A139" s="39" t="s">
        <v>74</v>
      </c>
      <c r="G139" s="155">
        <v>-79830.61</v>
      </c>
      <c r="H139" s="155">
        <f t="shared" si="280"/>
        <v>-79830.61</v>
      </c>
      <c r="I139" s="155">
        <f t="shared" si="280"/>
        <v>-79830.61</v>
      </c>
      <c r="J139" s="155">
        <f t="shared" si="280"/>
        <v>-79830.61</v>
      </c>
      <c r="K139" s="155">
        <f t="shared" si="280"/>
        <v>-79830.61</v>
      </c>
      <c r="L139" s="155">
        <f t="shared" si="280"/>
        <v>-79830.61</v>
      </c>
      <c r="M139" s="155">
        <f t="shared" si="280"/>
        <v>-79830.61</v>
      </c>
      <c r="N139" s="184">
        <f t="shared" si="285"/>
        <v>-79830.61</v>
      </c>
      <c r="O139" s="155">
        <f t="shared" si="286"/>
        <v>-79830.61</v>
      </c>
      <c r="P139" s="155">
        <f t="shared" ref="P139:Z139" si="295">+O139+SUMIF($B$332:$B$370,$A139,P$332:P$370)</f>
        <v>-79830.61</v>
      </c>
      <c r="Q139" s="155">
        <f t="shared" si="295"/>
        <v>-79830.61</v>
      </c>
      <c r="R139" s="155">
        <f t="shared" si="295"/>
        <v>-79830.61</v>
      </c>
      <c r="S139" s="155">
        <f t="shared" si="295"/>
        <v>-79830.61</v>
      </c>
      <c r="T139" s="155">
        <f t="shared" si="295"/>
        <v>-79830.61</v>
      </c>
      <c r="U139" s="155">
        <f t="shared" si="295"/>
        <v>-79830.61</v>
      </c>
      <c r="V139" s="155">
        <f t="shared" si="295"/>
        <v>-79830.61</v>
      </c>
      <c r="W139" s="155">
        <f t="shared" si="295"/>
        <v>-79830.61</v>
      </c>
      <c r="X139" s="155">
        <f t="shared" si="295"/>
        <v>-79830.61</v>
      </c>
      <c r="Y139" s="155">
        <f t="shared" si="295"/>
        <v>-79830.61</v>
      </c>
      <c r="Z139" s="155">
        <f t="shared" si="295"/>
        <v>-79830.61</v>
      </c>
      <c r="AA139" s="184">
        <f t="shared" si="218"/>
        <v>-79830.61</v>
      </c>
      <c r="AB139" s="155">
        <f t="shared" ref="AB139:AM139" si="296">+AA139+SUMIF($B$332:$B$370,$A139,AB$332:AB$370)</f>
        <v>-79830.61</v>
      </c>
      <c r="AC139" s="155">
        <f t="shared" si="296"/>
        <v>-79830.61</v>
      </c>
      <c r="AD139" s="155">
        <f t="shared" si="296"/>
        <v>-79830.61</v>
      </c>
      <c r="AE139" s="155">
        <f t="shared" si="296"/>
        <v>-79830.61</v>
      </c>
      <c r="AF139" s="155">
        <f t="shared" si="296"/>
        <v>-79830.61</v>
      </c>
      <c r="AG139" s="155">
        <f t="shared" si="296"/>
        <v>-79830.61</v>
      </c>
      <c r="AH139" s="155">
        <f t="shared" si="296"/>
        <v>-79830.61</v>
      </c>
      <c r="AI139" s="155">
        <f t="shared" si="296"/>
        <v>-79830.61</v>
      </c>
      <c r="AJ139" s="155">
        <f t="shared" si="296"/>
        <v>-79830.61</v>
      </c>
      <c r="AK139" s="155">
        <f t="shared" si="296"/>
        <v>-79830.61</v>
      </c>
      <c r="AL139" s="155">
        <f t="shared" si="296"/>
        <v>-79830.61</v>
      </c>
      <c r="AM139" s="155">
        <f t="shared" si="296"/>
        <v>-79830.61</v>
      </c>
      <c r="AN139" s="184">
        <f t="shared" si="220"/>
        <v>-79830.61</v>
      </c>
      <c r="AO139" s="155"/>
      <c r="AQ139" s="155">
        <f t="shared" si="289"/>
        <v>-79830.61</v>
      </c>
      <c r="AR139" s="155">
        <f t="shared" si="265"/>
        <v>0</v>
      </c>
      <c r="AS139" s="155">
        <f t="shared" si="262"/>
        <v>0</v>
      </c>
      <c r="AT139" s="155">
        <f t="shared" si="262"/>
        <v>0</v>
      </c>
      <c r="AU139" s="155">
        <f t="shared" si="262"/>
        <v>0</v>
      </c>
      <c r="AV139" s="155">
        <f t="shared" si="262"/>
        <v>0</v>
      </c>
      <c r="AW139" s="155">
        <f t="shared" si="262"/>
        <v>0</v>
      </c>
      <c r="AX139" s="155">
        <f t="shared" si="262"/>
        <v>0</v>
      </c>
      <c r="AY139" s="155">
        <f t="shared" si="262"/>
        <v>0</v>
      </c>
      <c r="AZ139" s="155">
        <f t="shared" si="262"/>
        <v>0</v>
      </c>
      <c r="BA139" s="155">
        <f t="shared" si="262"/>
        <v>0</v>
      </c>
      <c r="BB139" s="155">
        <f t="shared" si="262"/>
        <v>0</v>
      </c>
      <c r="BC139" s="155">
        <f t="shared" si="262"/>
        <v>0</v>
      </c>
      <c r="BD139" s="155">
        <f t="shared" si="290"/>
        <v>-79830.61</v>
      </c>
      <c r="BE139" s="155">
        <f t="shared" si="216"/>
        <v>-79830.61</v>
      </c>
    </row>
    <row r="140" spans="1:57" x14ac:dyDescent="0.15">
      <c r="A140" s="39" t="s">
        <v>90</v>
      </c>
      <c r="G140" s="155">
        <v>-815540.54</v>
      </c>
      <c r="H140" s="155">
        <f t="shared" si="280"/>
        <v>-815540.54</v>
      </c>
      <c r="I140" s="155">
        <f t="shared" si="280"/>
        <v>-815540.54</v>
      </c>
      <c r="J140" s="155">
        <f t="shared" si="280"/>
        <v>-772957.54728375003</v>
      </c>
      <c r="K140" s="155">
        <f t="shared" si="280"/>
        <v>-772957.54728375003</v>
      </c>
      <c r="L140" s="155">
        <f t="shared" si="280"/>
        <v>-772957.54728375003</v>
      </c>
      <c r="M140" s="155">
        <f t="shared" si="280"/>
        <v>-730374.55456750002</v>
      </c>
      <c r="N140" s="184">
        <f t="shared" si="285"/>
        <v>-730374.55456750002</v>
      </c>
      <c r="O140" s="155">
        <f t="shared" si="286"/>
        <v>-730374.55456750002</v>
      </c>
      <c r="P140" s="155">
        <f t="shared" ref="P140:Z140" si="297">+O140+SUMIF($B$332:$B$370,$A140,P$332:P$370)</f>
        <v>-730374.55456750002</v>
      </c>
      <c r="Q140" s="155">
        <f t="shared" si="297"/>
        <v>-535827.40611250012</v>
      </c>
      <c r="R140" s="155">
        <f t="shared" si="297"/>
        <v>-535827.40611250012</v>
      </c>
      <c r="S140" s="155">
        <f t="shared" si="297"/>
        <v>-535827.40611250012</v>
      </c>
      <c r="T140" s="155">
        <f t="shared" si="297"/>
        <v>-341280.25765750022</v>
      </c>
      <c r="U140" s="155">
        <f t="shared" si="297"/>
        <v>-341280.25765750022</v>
      </c>
      <c r="V140" s="155">
        <f t="shared" si="297"/>
        <v>-341280.25765750022</v>
      </c>
      <c r="W140" s="155">
        <f t="shared" si="297"/>
        <v>-146733.10920250029</v>
      </c>
      <c r="X140" s="155">
        <f t="shared" si="297"/>
        <v>-146733.10920250029</v>
      </c>
      <c r="Y140" s="155">
        <f t="shared" si="297"/>
        <v>-146733.10920250029</v>
      </c>
      <c r="Z140" s="155">
        <f t="shared" si="297"/>
        <v>47814.039252499642</v>
      </c>
      <c r="AA140" s="184">
        <f t="shared" si="218"/>
        <v>47814.039252499642</v>
      </c>
      <c r="AB140" s="155">
        <f t="shared" ref="AB140:AM140" si="298">+AA140+SUMIF($B$332:$B$370,$A140,AB$332:AB$370)</f>
        <v>47814.039252499642</v>
      </c>
      <c r="AC140" s="155">
        <f t="shared" si="298"/>
        <v>47814.039252499642</v>
      </c>
      <c r="AD140" s="155">
        <f t="shared" si="298"/>
        <v>47814.039252499642</v>
      </c>
      <c r="AE140" s="155">
        <f t="shared" si="298"/>
        <v>47814.039252499642</v>
      </c>
      <c r="AF140" s="155">
        <f t="shared" si="298"/>
        <v>47814.039252499642</v>
      </c>
      <c r="AG140" s="155">
        <f t="shared" si="298"/>
        <v>47814.039252499642</v>
      </c>
      <c r="AH140" s="155">
        <f t="shared" si="298"/>
        <v>47814.039252499642</v>
      </c>
      <c r="AI140" s="155">
        <f t="shared" si="298"/>
        <v>47814.039252499642</v>
      </c>
      <c r="AJ140" s="155">
        <f t="shared" si="298"/>
        <v>47814.039252499642</v>
      </c>
      <c r="AK140" s="155">
        <f t="shared" si="298"/>
        <v>47814.039252499642</v>
      </c>
      <c r="AL140" s="155">
        <f t="shared" si="298"/>
        <v>47814.039252499642</v>
      </c>
      <c r="AM140" s="155">
        <f t="shared" si="298"/>
        <v>47814.039252499642</v>
      </c>
      <c r="AN140" s="184">
        <f t="shared" si="220"/>
        <v>47814.039252499642</v>
      </c>
      <c r="AO140" s="155"/>
      <c r="AQ140" s="155">
        <f t="shared" si="289"/>
        <v>-535827.40611250012</v>
      </c>
      <c r="AR140" s="155">
        <f t="shared" si="265"/>
        <v>44639.242967414364</v>
      </c>
      <c r="AS140" s="155">
        <f t="shared" si="262"/>
        <v>40508.447349534232</v>
      </c>
      <c r="AT140" s="155">
        <f t="shared" si="262"/>
        <v>36510.903203198621</v>
      </c>
      <c r="AU140" s="155">
        <f t="shared" si="262"/>
        <v>32380.107585318485</v>
      </c>
      <c r="AV140" s="155">
        <f t="shared" si="262"/>
        <v>28382.56343898287</v>
      </c>
      <c r="AW140" s="155">
        <f t="shared" si="262"/>
        <v>24251.767821102731</v>
      </c>
      <c r="AX140" s="155">
        <f t="shared" si="262"/>
        <v>20120.972203222598</v>
      </c>
      <c r="AY140" s="155">
        <f t="shared" si="262"/>
        <v>16389.930999976023</v>
      </c>
      <c r="AZ140" s="155">
        <f t="shared" si="262"/>
        <v>12259.135382095887</v>
      </c>
      <c r="BA140" s="155">
        <f t="shared" si="262"/>
        <v>8261.5912357602701</v>
      </c>
      <c r="BB140" s="155">
        <f t="shared" si="262"/>
        <v>4130.7956178801351</v>
      </c>
      <c r="BC140" s="155">
        <f t="shared" si="262"/>
        <v>133.25147154452051</v>
      </c>
      <c r="BD140" s="155">
        <f t="shared" si="290"/>
        <v>47814.039252499642</v>
      </c>
      <c r="BE140" s="155">
        <f t="shared" si="216"/>
        <v>-267858.69683646935</v>
      </c>
    </row>
    <row r="141" spans="1:57" x14ac:dyDescent="0.15">
      <c r="A141" s="39" t="s">
        <v>75</v>
      </c>
      <c r="G141" s="155">
        <v>-113488.17</v>
      </c>
      <c r="H141" s="155">
        <f t="shared" si="280"/>
        <v>-113488.17</v>
      </c>
      <c r="I141" s="155">
        <f t="shared" si="280"/>
        <v>-113488.17</v>
      </c>
      <c r="J141" s="155">
        <f t="shared" si="280"/>
        <v>-122357.89839651959</v>
      </c>
      <c r="K141" s="155">
        <f t="shared" si="280"/>
        <v>-122357.89839651959</v>
      </c>
      <c r="L141" s="155">
        <f t="shared" si="280"/>
        <v>-122357.89839651959</v>
      </c>
      <c r="M141" s="155">
        <f t="shared" si="280"/>
        <v>-131227.62679303921</v>
      </c>
      <c r="N141" s="184">
        <f t="shared" si="285"/>
        <v>-131227.62679303921</v>
      </c>
      <c r="O141" s="155">
        <f t="shared" si="286"/>
        <v>-131227.62679303921</v>
      </c>
      <c r="P141" s="155">
        <f t="shared" ref="P141:Z141" si="299">+O141+SUMIF($B$332:$B$370,$A141,P$332:P$370)</f>
        <v>-131227.62679303921</v>
      </c>
      <c r="Q141" s="155">
        <f t="shared" si="299"/>
        <v>-125910.25509079191</v>
      </c>
      <c r="R141" s="155">
        <f t="shared" si="299"/>
        <v>-125910.25509079191</v>
      </c>
      <c r="S141" s="155">
        <f t="shared" si="299"/>
        <v>-125910.25509079191</v>
      </c>
      <c r="T141" s="155">
        <f t="shared" si="299"/>
        <v>-120592.88338854461</v>
      </c>
      <c r="U141" s="155">
        <f t="shared" si="299"/>
        <v>-120592.88338854461</v>
      </c>
      <c r="V141" s="155">
        <f t="shared" si="299"/>
        <v>-120592.88338854461</v>
      </c>
      <c r="W141" s="155">
        <f t="shared" si="299"/>
        <v>-115275.51168629731</v>
      </c>
      <c r="X141" s="155">
        <f t="shared" si="299"/>
        <v>-115275.51168629731</v>
      </c>
      <c r="Y141" s="155">
        <f t="shared" si="299"/>
        <v>-115275.51168629731</v>
      </c>
      <c r="Z141" s="155">
        <f t="shared" si="299"/>
        <v>-109958.13998405001</v>
      </c>
      <c r="AA141" s="184">
        <f t="shared" si="218"/>
        <v>-109958.13998405001</v>
      </c>
      <c r="AB141" s="155">
        <f t="shared" ref="AB141:AM141" si="300">+AA141+SUMIF($B$332:$B$370,$A141,AB$332:AB$370)</f>
        <v>-109958.13998405001</v>
      </c>
      <c r="AC141" s="155">
        <f t="shared" si="300"/>
        <v>-109958.13998405001</v>
      </c>
      <c r="AD141" s="155">
        <f t="shared" si="300"/>
        <v>-98388.719618818504</v>
      </c>
      <c r="AE141" s="155">
        <f t="shared" si="300"/>
        <v>-98388.719618818504</v>
      </c>
      <c r="AF141" s="155">
        <f t="shared" si="300"/>
        <v>-98388.719618818504</v>
      </c>
      <c r="AG141" s="155">
        <f t="shared" si="300"/>
        <v>-86819.299253587</v>
      </c>
      <c r="AH141" s="155">
        <f t="shared" si="300"/>
        <v>-86819.299253587</v>
      </c>
      <c r="AI141" s="155">
        <f t="shared" si="300"/>
        <v>-86819.299253587</v>
      </c>
      <c r="AJ141" s="155">
        <f t="shared" si="300"/>
        <v>-75249.878888355495</v>
      </c>
      <c r="AK141" s="155">
        <f t="shared" si="300"/>
        <v>-75249.878888355495</v>
      </c>
      <c r="AL141" s="155">
        <f t="shared" si="300"/>
        <v>-75249.878888355495</v>
      </c>
      <c r="AM141" s="155">
        <f t="shared" si="300"/>
        <v>-63680.458523123991</v>
      </c>
      <c r="AN141" s="184">
        <f t="shared" si="220"/>
        <v>-63680.458523123991</v>
      </c>
      <c r="AO141" s="155"/>
      <c r="AQ141" s="155">
        <f t="shared" si="289"/>
        <v>-125910.25509079191</v>
      </c>
      <c r="AR141" s="155">
        <f t="shared" si="265"/>
        <v>2104.9576217148606</v>
      </c>
      <c r="AS141" s="155">
        <f t="shared" si="262"/>
        <v>1910.1704985113961</v>
      </c>
      <c r="AT141" s="155">
        <f t="shared" si="262"/>
        <v>1721.6668308951398</v>
      </c>
      <c r="AU141" s="155">
        <f t="shared" si="262"/>
        <v>1526.8797076916751</v>
      </c>
      <c r="AV141" s="155">
        <f t="shared" si="262"/>
        <v>1338.376040075419</v>
      </c>
      <c r="AW141" s="155">
        <f t="shared" si="262"/>
        <v>1143.5889168719541</v>
      </c>
      <c r="AX141" s="155">
        <f t="shared" si="262"/>
        <v>948.80179366848949</v>
      </c>
      <c r="AY141" s="155">
        <f t="shared" si="262"/>
        <v>772.86503722665032</v>
      </c>
      <c r="AZ141" s="155">
        <f t="shared" si="262"/>
        <v>578.07791402318571</v>
      </c>
      <c r="BA141" s="155">
        <f t="shared" si="262"/>
        <v>389.57424640692943</v>
      </c>
      <c r="BB141" s="155">
        <f t="shared" si="262"/>
        <v>194.78712320346472</v>
      </c>
      <c r="BC141" s="155">
        <f t="shared" si="262"/>
        <v>6.2834555872085396</v>
      </c>
      <c r="BD141" s="155">
        <f t="shared" si="290"/>
        <v>-98388.719618818504</v>
      </c>
      <c r="BE141" s="155">
        <f t="shared" si="216"/>
        <v>-113274.22590491551</v>
      </c>
    </row>
    <row r="142" spans="1:57" x14ac:dyDescent="0.15">
      <c r="A142" s="39" t="s">
        <v>76</v>
      </c>
      <c r="G142" s="155">
        <v>-67583.28</v>
      </c>
      <c r="H142" s="155">
        <f t="shared" si="280"/>
        <v>-67583.28</v>
      </c>
      <c r="I142" s="155">
        <f t="shared" si="280"/>
        <v>-67583.28</v>
      </c>
      <c r="J142" s="155">
        <f t="shared" si="280"/>
        <v>-67583.28</v>
      </c>
      <c r="K142" s="155">
        <f t="shared" si="280"/>
        <v>-67583.28</v>
      </c>
      <c r="L142" s="155">
        <f t="shared" si="280"/>
        <v>-67583.28</v>
      </c>
      <c r="M142" s="155">
        <f t="shared" si="280"/>
        <v>-67583.28</v>
      </c>
      <c r="N142" s="184">
        <f t="shared" si="285"/>
        <v>-67583.28</v>
      </c>
      <c r="O142" s="155">
        <f t="shared" si="286"/>
        <v>-67583.28</v>
      </c>
      <c r="P142" s="155">
        <f t="shared" ref="P142:Z142" si="301">+O142+SUMIF($B$332:$B$370,$A142,P$332:P$370)</f>
        <v>-67583.28</v>
      </c>
      <c r="Q142" s="155">
        <f t="shared" si="301"/>
        <v>-67583.28</v>
      </c>
      <c r="R142" s="155">
        <f t="shared" si="301"/>
        <v>-67583.28</v>
      </c>
      <c r="S142" s="155">
        <f t="shared" si="301"/>
        <v>-67583.28</v>
      </c>
      <c r="T142" s="155">
        <f t="shared" si="301"/>
        <v>-67583.28</v>
      </c>
      <c r="U142" s="155">
        <f t="shared" si="301"/>
        <v>-67583.28</v>
      </c>
      <c r="V142" s="155">
        <f t="shared" si="301"/>
        <v>-67583.28</v>
      </c>
      <c r="W142" s="155">
        <f t="shared" si="301"/>
        <v>-67583.28</v>
      </c>
      <c r="X142" s="155">
        <f t="shared" si="301"/>
        <v>-67583.28</v>
      </c>
      <c r="Y142" s="155">
        <f t="shared" si="301"/>
        <v>-67583.28</v>
      </c>
      <c r="Z142" s="155">
        <f t="shared" si="301"/>
        <v>-67583.28</v>
      </c>
      <c r="AA142" s="184">
        <f t="shared" si="218"/>
        <v>-67583.28</v>
      </c>
      <c r="AB142" s="155">
        <f t="shared" ref="AB142:AM142" si="302">+AA142+SUMIF($B$332:$B$370,$A142,AB$332:AB$370)</f>
        <v>-67583.28</v>
      </c>
      <c r="AC142" s="155">
        <f t="shared" si="302"/>
        <v>-67583.28</v>
      </c>
      <c r="AD142" s="155">
        <f t="shared" si="302"/>
        <v>-67583.28</v>
      </c>
      <c r="AE142" s="155">
        <f t="shared" si="302"/>
        <v>-67583.28</v>
      </c>
      <c r="AF142" s="155">
        <f t="shared" si="302"/>
        <v>-67583.28</v>
      </c>
      <c r="AG142" s="155">
        <f t="shared" si="302"/>
        <v>-67583.28</v>
      </c>
      <c r="AH142" s="155">
        <f t="shared" si="302"/>
        <v>-67583.28</v>
      </c>
      <c r="AI142" s="155">
        <f t="shared" si="302"/>
        <v>-67583.28</v>
      </c>
      <c r="AJ142" s="155">
        <f t="shared" si="302"/>
        <v>-67583.28</v>
      </c>
      <c r="AK142" s="155">
        <f t="shared" si="302"/>
        <v>-67583.28</v>
      </c>
      <c r="AL142" s="155">
        <f t="shared" si="302"/>
        <v>-67583.28</v>
      </c>
      <c r="AM142" s="155">
        <f t="shared" si="302"/>
        <v>-67583.28</v>
      </c>
      <c r="AN142" s="184">
        <f t="shared" si="220"/>
        <v>-67583.28</v>
      </c>
      <c r="AO142" s="155"/>
      <c r="AQ142" s="155">
        <f t="shared" si="289"/>
        <v>-67583.28</v>
      </c>
      <c r="AR142" s="155">
        <f t="shared" si="265"/>
        <v>0</v>
      </c>
      <c r="AS142" s="155">
        <f t="shared" si="262"/>
        <v>0</v>
      </c>
      <c r="AT142" s="155">
        <f t="shared" si="262"/>
        <v>0</v>
      </c>
      <c r="AU142" s="155">
        <f t="shared" si="262"/>
        <v>0</v>
      </c>
      <c r="AV142" s="155">
        <f t="shared" si="262"/>
        <v>0</v>
      </c>
      <c r="AW142" s="155">
        <f t="shared" si="262"/>
        <v>0</v>
      </c>
      <c r="AX142" s="155">
        <f t="shared" si="262"/>
        <v>0</v>
      </c>
      <c r="AY142" s="155">
        <f t="shared" si="262"/>
        <v>0</v>
      </c>
      <c r="AZ142" s="155">
        <f t="shared" si="262"/>
        <v>0</v>
      </c>
      <c r="BA142" s="155">
        <f t="shared" si="262"/>
        <v>0</v>
      </c>
      <c r="BB142" s="155">
        <f t="shared" si="262"/>
        <v>0</v>
      </c>
      <c r="BC142" s="155">
        <f t="shared" si="262"/>
        <v>0</v>
      </c>
      <c r="BD142" s="155">
        <f t="shared" si="290"/>
        <v>-67583.28</v>
      </c>
      <c r="BE142" s="155">
        <f t="shared" si="216"/>
        <v>-67583.28</v>
      </c>
    </row>
    <row r="143" spans="1:57" x14ac:dyDescent="0.15">
      <c r="A143" s="39" t="s">
        <v>78</v>
      </c>
      <c r="G143" s="155">
        <f>-9843140.37+1604391</f>
        <v>-8238749.3699999992</v>
      </c>
      <c r="H143" s="155">
        <f t="shared" si="280"/>
        <v>-8238749.3699999992</v>
      </c>
      <c r="I143" s="155">
        <f t="shared" si="280"/>
        <v>-8238749.3699999992</v>
      </c>
      <c r="J143" s="155">
        <f t="shared" si="280"/>
        <v>-11091472.719381116</v>
      </c>
      <c r="K143" s="155">
        <f t="shared" si="280"/>
        <v>-11091472.719381116</v>
      </c>
      <c r="L143" s="155">
        <f t="shared" si="280"/>
        <v>-11091472.719381116</v>
      </c>
      <c r="M143" s="155">
        <f t="shared" si="280"/>
        <v>-13424644.147532562</v>
      </c>
      <c r="N143" s="184">
        <f t="shared" si="285"/>
        <v>-13424644.147532562</v>
      </c>
      <c r="O143" s="155">
        <f t="shared" si="286"/>
        <v>-13424644.147532562</v>
      </c>
      <c r="P143" s="155">
        <f t="shared" ref="P143:Y143" si="303">+O143+SUMIF($B$332:$B$370,$A143,P$332:P$370)</f>
        <v>-13424644.147532562</v>
      </c>
      <c r="Q143" s="155">
        <f t="shared" si="303"/>
        <v>-16205996.53457058</v>
      </c>
      <c r="R143" s="155">
        <f t="shared" si="303"/>
        <v>-16205996.53457058</v>
      </c>
      <c r="S143" s="155">
        <f t="shared" si="303"/>
        <v>-16205996.53457058</v>
      </c>
      <c r="T143" s="155">
        <f t="shared" si="303"/>
        <v>-18987348.921608597</v>
      </c>
      <c r="U143" s="155">
        <f t="shared" si="303"/>
        <v>-18987348.921608597</v>
      </c>
      <c r="V143" s="155">
        <f t="shared" si="303"/>
        <v>-18987348.921608597</v>
      </c>
      <c r="W143" s="155">
        <f>+V143+SUMIF($B$332:$B$370,$A143,W$332:W$370)-31701+259775-386705</f>
        <v>-21927332.308646616</v>
      </c>
      <c r="X143" s="155">
        <f t="shared" si="303"/>
        <v>-21927332.308646616</v>
      </c>
      <c r="Y143" s="155">
        <f t="shared" si="303"/>
        <v>-21927332.308646616</v>
      </c>
      <c r="Z143" s="155">
        <f>+Y143+SUMIF($B$332:$B$370,$A143,Z$332:Z$370)-228074</f>
        <v>-24936758.695684634</v>
      </c>
      <c r="AA143" s="184">
        <f t="shared" si="218"/>
        <v>-24936758.695684634</v>
      </c>
      <c r="AB143" s="155">
        <f t="shared" ref="AB143:AM143" si="304">+AA143+SUMIF($B$332:$B$370,$A143,AB$332:AB$370)</f>
        <v>-24936758.695684634</v>
      </c>
      <c r="AC143" s="155">
        <f t="shared" si="304"/>
        <v>-24936758.695684634</v>
      </c>
      <c r="AD143" s="155">
        <f t="shared" si="304"/>
        <v>-27998572.11880086</v>
      </c>
      <c r="AE143" s="155">
        <f t="shared" si="304"/>
        <v>-27998572.11880086</v>
      </c>
      <c r="AF143" s="155">
        <f t="shared" si="304"/>
        <v>-27998572.11880086</v>
      </c>
      <c r="AG143" s="155">
        <f t="shared" si="304"/>
        <v>-31060385.541917086</v>
      </c>
      <c r="AH143" s="155">
        <f t="shared" si="304"/>
        <v>-31060385.541917086</v>
      </c>
      <c r="AI143" s="155">
        <f t="shared" si="304"/>
        <v>-31060385.541917086</v>
      </c>
      <c r="AJ143" s="155">
        <f t="shared" si="304"/>
        <v>-34122198.965033308</v>
      </c>
      <c r="AK143" s="155">
        <f t="shared" si="304"/>
        <v>-34122198.965033308</v>
      </c>
      <c r="AL143" s="155">
        <f t="shared" si="304"/>
        <v>-34122198.965033308</v>
      </c>
      <c r="AM143" s="155">
        <f t="shared" si="304"/>
        <v>-37184012.38814953</v>
      </c>
      <c r="AN143" s="184">
        <f t="shared" si="220"/>
        <v>-37184012.38814953</v>
      </c>
      <c r="AO143" s="155"/>
      <c r="AQ143" s="155">
        <f t="shared" si="289"/>
        <v>-16205996.53457058</v>
      </c>
      <c r="AR143" s="155">
        <f t="shared" si="265"/>
        <v>-901943.56637377711</v>
      </c>
      <c r="AS143" s="155">
        <f t="shared" si="262"/>
        <v>-818480.13187351718</v>
      </c>
      <c r="AT143" s="155">
        <f t="shared" si="262"/>
        <v>-737709.06622810429</v>
      </c>
      <c r="AU143" s="155">
        <f t="shared" si="262"/>
        <v>-654245.63172784436</v>
      </c>
      <c r="AV143" s="155">
        <f t="shared" si="262"/>
        <v>-573474.56608243147</v>
      </c>
      <c r="AW143" s="155">
        <f t="shared" si="262"/>
        <v>-490011.13158217148</v>
      </c>
      <c r="AX143" s="155">
        <f t="shared" si="262"/>
        <v>-406547.69708191149</v>
      </c>
      <c r="AY143" s="155">
        <f t="shared" si="262"/>
        <v>-331161.3691461928</v>
      </c>
      <c r="AZ143" s="155">
        <f t="shared" si="262"/>
        <v>-247697.93464593284</v>
      </c>
      <c r="BA143" s="155">
        <f t="shared" si="262"/>
        <v>-166926.86900051995</v>
      </c>
      <c r="BB143" s="155">
        <f t="shared" si="262"/>
        <v>-83463.434500259973</v>
      </c>
      <c r="BC143" s="155">
        <f t="shared" si="262"/>
        <v>-2692.3688548470959</v>
      </c>
      <c r="BD143" s="155">
        <f t="shared" si="290"/>
        <v>-27998572.11880086</v>
      </c>
      <c r="BE143" s="155">
        <f t="shared" si="216"/>
        <v>-21620350.301668093</v>
      </c>
    </row>
    <row r="144" spans="1:57" x14ac:dyDescent="0.15">
      <c r="A144" s="39" t="s">
        <v>79</v>
      </c>
      <c r="G144" s="155">
        <v>-970426.59</v>
      </c>
      <c r="H144" s="155">
        <f t="shared" ref="H144:M152" si="305">+G144+SUMIF($B$332:$B$370,$A144,H$332:H$370)</f>
        <v>-970426.59</v>
      </c>
      <c r="I144" s="155">
        <f t="shared" si="305"/>
        <v>-970426.59</v>
      </c>
      <c r="J144" s="155">
        <f t="shared" si="305"/>
        <v>-1621153.4155048151</v>
      </c>
      <c r="K144" s="155">
        <f t="shared" si="305"/>
        <v>-1621153.4155048151</v>
      </c>
      <c r="L144" s="155">
        <f t="shared" si="305"/>
        <v>-1621153.4155048151</v>
      </c>
      <c r="M144" s="155">
        <f t="shared" si="305"/>
        <v>-2271880.2410096303</v>
      </c>
      <c r="N144" s="184">
        <f t="shared" si="285"/>
        <v>-2271880.2410096303</v>
      </c>
      <c r="O144" s="155">
        <f t="shared" si="286"/>
        <v>-2271880.2410096303</v>
      </c>
      <c r="P144" s="155">
        <f t="shared" ref="P144:Z144" si="306">+O144+SUMIF($B$332:$B$370,$A144,P$332:P$370)</f>
        <v>-2271880.2410096303</v>
      </c>
      <c r="Q144" s="155">
        <f t="shared" si="306"/>
        <v>-2984465.3038535602</v>
      </c>
      <c r="R144" s="155">
        <f t="shared" si="306"/>
        <v>-2984465.3038535602</v>
      </c>
      <c r="S144" s="155">
        <f t="shared" si="306"/>
        <v>-2984465.3038535602</v>
      </c>
      <c r="T144" s="155">
        <f t="shared" si="306"/>
        <v>-3697050.3666974902</v>
      </c>
      <c r="U144" s="155">
        <f t="shared" si="306"/>
        <v>-3697050.3666974902</v>
      </c>
      <c r="V144" s="155">
        <f t="shared" si="306"/>
        <v>-3697050.3666974902</v>
      </c>
      <c r="W144" s="155">
        <f t="shared" si="306"/>
        <v>-4409635.4295414202</v>
      </c>
      <c r="X144" s="155">
        <f t="shared" si="306"/>
        <v>-4409635.4295414202</v>
      </c>
      <c r="Y144" s="155">
        <f t="shared" si="306"/>
        <v>-4409635.4295414202</v>
      </c>
      <c r="Z144" s="155">
        <f t="shared" si="306"/>
        <v>-5122220.4923853502</v>
      </c>
      <c r="AA144" s="184">
        <f t="shared" si="218"/>
        <v>-5122220.4923853502</v>
      </c>
      <c r="AB144" s="155">
        <f t="shared" ref="AB144:AM144" si="307">+AA144+SUMIF($B$332:$B$370,$A144,AB$332:AB$370)</f>
        <v>-5122220.4923853502</v>
      </c>
      <c r="AC144" s="155">
        <f t="shared" si="307"/>
        <v>-5122220.4923853502</v>
      </c>
      <c r="AD144" s="155">
        <f t="shared" si="307"/>
        <v>-5871350.7355358619</v>
      </c>
      <c r="AE144" s="155">
        <f t="shared" si="307"/>
        <v>-5871350.7355358619</v>
      </c>
      <c r="AF144" s="155">
        <f t="shared" si="307"/>
        <v>-5871350.7355358619</v>
      </c>
      <c r="AG144" s="155">
        <f t="shared" si="307"/>
        <v>-6620480.9786863737</v>
      </c>
      <c r="AH144" s="155">
        <f t="shared" si="307"/>
        <v>-6620480.9786863737</v>
      </c>
      <c r="AI144" s="155">
        <f t="shared" si="307"/>
        <v>-6620480.9786863737</v>
      </c>
      <c r="AJ144" s="155">
        <f t="shared" si="307"/>
        <v>-7369611.2218368854</v>
      </c>
      <c r="AK144" s="155">
        <f t="shared" si="307"/>
        <v>-7369611.2218368854</v>
      </c>
      <c r="AL144" s="155">
        <f t="shared" si="307"/>
        <v>-7369611.2218368854</v>
      </c>
      <c r="AM144" s="155">
        <f t="shared" si="307"/>
        <v>-8118741.4649873972</v>
      </c>
      <c r="AN144" s="184">
        <f t="shared" si="220"/>
        <v>-8118741.4649873972</v>
      </c>
      <c r="AO144" s="155"/>
      <c r="AQ144" s="155">
        <f t="shared" si="289"/>
        <v>-2984465.3038535602</v>
      </c>
      <c r="AR144" s="155">
        <f t="shared" si="265"/>
        <v>-220800.5980852902</v>
      </c>
      <c r="AS144" s="155">
        <f t="shared" si="262"/>
        <v>-200368.30393411408</v>
      </c>
      <c r="AT144" s="155">
        <f t="shared" si="262"/>
        <v>-180595.11604587914</v>
      </c>
      <c r="AU144" s="155">
        <f t="shared" si="262"/>
        <v>-160162.82189470305</v>
      </c>
      <c r="AV144" s="155">
        <f t="shared" si="262"/>
        <v>-140389.63400646811</v>
      </c>
      <c r="AW144" s="155">
        <f t="shared" si="262"/>
        <v>-119957.33985529198</v>
      </c>
      <c r="AX144" s="155">
        <f t="shared" si="262"/>
        <v>-99525.045704115881</v>
      </c>
      <c r="AY144" s="155">
        <f t="shared" si="262"/>
        <v>-81070.070341763261</v>
      </c>
      <c r="AZ144" s="155">
        <f t="shared" si="262"/>
        <v>-60637.776190587167</v>
      </c>
      <c r="BA144" s="155">
        <f t="shared" si="262"/>
        <v>-40864.588302352218</v>
      </c>
      <c r="BB144" s="155">
        <f t="shared" si="262"/>
        <v>-20432.294151176109</v>
      </c>
      <c r="BC144" s="155">
        <f t="shared" si="262"/>
        <v>-659.1062629411648</v>
      </c>
      <c r="BD144" s="155">
        <f t="shared" si="290"/>
        <v>-5871350.7355358619</v>
      </c>
      <c r="BE144" s="155">
        <f t="shared" si="216"/>
        <v>-4309927.9986282419</v>
      </c>
    </row>
    <row r="145" spans="1:57" x14ac:dyDescent="0.15">
      <c r="A145" s="39" t="s">
        <v>625</v>
      </c>
      <c r="G145" s="155">
        <v>-11467.67</v>
      </c>
      <c r="H145" s="155">
        <f t="shared" si="305"/>
        <v>-11467.67</v>
      </c>
      <c r="I145" s="155">
        <f t="shared" si="305"/>
        <v>-11467.67</v>
      </c>
      <c r="J145" s="155">
        <f t="shared" si="305"/>
        <v>-11467.67</v>
      </c>
      <c r="K145" s="155">
        <f t="shared" si="305"/>
        <v>-11467.67</v>
      </c>
      <c r="L145" s="155">
        <f t="shared" si="305"/>
        <v>-11467.67</v>
      </c>
      <c r="M145" s="155">
        <f t="shared" si="305"/>
        <v>-11467.67</v>
      </c>
      <c r="N145" s="184">
        <f t="shared" si="285"/>
        <v>-11467.67</v>
      </c>
      <c r="O145" s="155">
        <f t="shared" si="286"/>
        <v>-11467.67</v>
      </c>
      <c r="P145" s="155">
        <f t="shared" ref="P145:Z145" si="308">+O145+SUMIF($B$332:$B$370,$A145,P$332:P$370)</f>
        <v>-11467.67</v>
      </c>
      <c r="Q145" s="155">
        <f t="shared" si="308"/>
        <v>-11467.67</v>
      </c>
      <c r="R145" s="155">
        <f t="shared" si="308"/>
        <v>-11467.67</v>
      </c>
      <c r="S145" s="155">
        <f t="shared" si="308"/>
        <v>-11467.67</v>
      </c>
      <c r="T145" s="155">
        <f t="shared" si="308"/>
        <v>-11467.67</v>
      </c>
      <c r="U145" s="155">
        <f t="shared" si="308"/>
        <v>-11467.67</v>
      </c>
      <c r="V145" s="155">
        <f t="shared" si="308"/>
        <v>-11467.67</v>
      </c>
      <c r="W145" s="155">
        <f t="shared" si="308"/>
        <v>-11467.67</v>
      </c>
      <c r="X145" s="155">
        <f t="shared" si="308"/>
        <v>-11467.67</v>
      </c>
      <c r="Y145" s="155">
        <f t="shared" si="308"/>
        <v>-11467.67</v>
      </c>
      <c r="Z145" s="155">
        <f t="shared" si="308"/>
        <v>-11467.67</v>
      </c>
      <c r="AA145" s="184">
        <f>+Z145</f>
        <v>-11467.67</v>
      </c>
      <c r="AB145" s="155">
        <f t="shared" ref="AB145:AM145" si="309">+AA145+SUMIF($B$332:$B$370,$A145,AB$332:AB$370)</f>
        <v>-11467.67</v>
      </c>
      <c r="AC145" s="155">
        <f t="shared" si="309"/>
        <v>-11467.67</v>
      </c>
      <c r="AD145" s="155">
        <f t="shared" si="309"/>
        <v>-11467.67</v>
      </c>
      <c r="AE145" s="155">
        <f t="shared" si="309"/>
        <v>-11467.67</v>
      </c>
      <c r="AF145" s="155">
        <f t="shared" si="309"/>
        <v>-11467.67</v>
      </c>
      <c r="AG145" s="155">
        <f t="shared" si="309"/>
        <v>-11467.67</v>
      </c>
      <c r="AH145" s="155">
        <f t="shared" si="309"/>
        <v>-11467.67</v>
      </c>
      <c r="AI145" s="155">
        <f t="shared" si="309"/>
        <v>-11467.67</v>
      </c>
      <c r="AJ145" s="155">
        <f t="shared" si="309"/>
        <v>-11467.67</v>
      </c>
      <c r="AK145" s="155">
        <f t="shared" si="309"/>
        <v>-11467.67</v>
      </c>
      <c r="AL145" s="155">
        <f t="shared" si="309"/>
        <v>-11467.67</v>
      </c>
      <c r="AM145" s="155">
        <f t="shared" si="309"/>
        <v>-11467.67</v>
      </c>
      <c r="AN145" s="184">
        <f>+AM145</f>
        <v>-11467.67</v>
      </c>
      <c r="AO145" s="155"/>
      <c r="AQ145" s="155">
        <f t="shared" si="289"/>
        <v>-11467.67</v>
      </c>
      <c r="AR145" s="155">
        <f t="shared" si="265"/>
        <v>0</v>
      </c>
      <c r="AS145" s="155">
        <f t="shared" si="262"/>
        <v>0</v>
      </c>
      <c r="AT145" s="155">
        <f t="shared" si="262"/>
        <v>0</v>
      </c>
      <c r="AU145" s="155">
        <f t="shared" si="262"/>
        <v>0</v>
      </c>
      <c r="AV145" s="155">
        <f t="shared" si="262"/>
        <v>0</v>
      </c>
      <c r="AW145" s="155">
        <f t="shared" si="262"/>
        <v>0</v>
      </c>
      <c r="AX145" s="155">
        <f t="shared" si="262"/>
        <v>0</v>
      </c>
      <c r="AY145" s="155">
        <f t="shared" si="262"/>
        <v>0</v>
      </c>
      <c r="AZ145" s="155">
        <f t="shared" si="262"/>
        <v>0</v>
      </c>
      <c r="BA145" s="155">
        <f t="shared" si="262"/>
        <v>0</v>
      </c>
      <c r="BB145" s="155">
        <f t="shared" si="262"/>
        <v>0</v>
      </c>
      <c r="BC145" s="155">
        <f t="shared" si="262"/>
        <v>0</v>
      </c>
      <c r="BD145" s="155">
        <f t="shared" si="290"/>
        <v>-11467.67</v>
      </c>
      <c r="BE145" s="155">
        <f t="shared" si="216"/>
        <v>-11467.67</v>
      </c>
    </row>
    <row r="146" spans="1:57" x14ac:dyDescent="0.15">
      <c r="A146" s="39" t="s">
        <v>80</v>
      </c>
      <c r="G146" s="155">
        <v>-1742141.59</v>
      </c>
      <c r="H146" s="155">
        <f t="shared" si="305"/>
        <v>-1742141.59</v>
      </c>
      <c r="I146" s="155">
        <f t="shared" si="305"/>
        <v>-1742141.59</v>
      </c>
      <c r="J146" s="155">
        <f t="shared" si="305"/>
        <v>-2097840.5151510611</v>
      </c>
      <c r="K146" s="155">
        <f t="shared" si="305"/>
        <v>-2097840.5151510611</v>
      </c>
      <c r="L146" s="155">
        <f t="shared" si="305"/>
        <v>-2097840.5151510611</v>
      </c>
      <c r="M146" s="155">
        <f t="shared" si="305"/>
        <v>-2453539.4403021224</v>
      </c>
      <c r="N146" s="184">
        <f t="shared" si="285"/>
        <v>-2453539.4403021224</v>
      </c>
      <c r="O146" s="155">
        <f t="shared" si="286"/>
        <v>-2453539.4403021224</v>
      </c>
      <c r="P146" s="155">
        <f t="shared" ref="P146:Z146" si="310">+O146+SUMIF($B$332:$B$370,$A146,P$332:P$370)</f>
        <v>-2453539.4403021224</v>
      </c>
      <c r="Q146" s="155">
        <f t="shared" si="310"/>
        <v>-2756244.7180715939</v>
      </c>
      <c r="R146" s="155">
        <f t="shared" si="310"/>
        <v>-2756244.7180715939</v>
      </c>
      <c r="S146" s="155">
        <f t="shared" si="310"/>
        <v>-2756244.7180715939</v>
      </c>
      <c r="T146" s="155">
        <f t="shared" si="310"/>
        <v>-3058949.9958410654</v>
      </c>
      <c r="U146" s="155">
        <f t="shared" si="310"/>
        <v>-3058949.9958410654</v>
      </c>
      <c r="V146" s="155">
        <f t="shared" si="310"/>
        <v>-3058949.9958410654</v>
      </c>
      <c r="W146" s="155">
        <f t="shared" si="310"/>
        <v>-3361655.2736105369</v>
      </c>
      <c r="X146" s="155">
        <f t="shared" si="310"/>
        <v>-3361655.2736105369</v>
      </c>
      <c r="Y146" s="155">
        <f t="shared" si="310"/>
        <v>-3361655.2736105369</v>
      </c>
      <c r="Z146" s="155">
        <f t="shared" si="310"/>
        <v>-3664360.5513800085</v>
      </c>
      <c r="AA146" s="184">
        <f t="shared" si="218"/>
        <v>-3664360.5513800085</v>
      </c>
      <c r="AB146" s="155">
        <f t="shared" ref="AB146:AM146" si="311">+AA146+SUMIF($B$332:$B$370,$A146,AB$332:AB$370)</f>
        <v>-3664360.5513800085</v>
      </c>
      <c r="AC146" s="155">
        <f t="shared" si="311"/>
        <v>-3664360.5513800085</v>
      </c>
      <c r="AD146" s="155">
        <f t="shared" si="311"/>
        <v>-3958907.0319215185</v>
      </c>
      <c r="AE146" s="155">
        <f t="shared" si="311"/>
        <v>-3958907.0319215185</v>
      </c>
      <c r="AF146" s="155">
        <f t="shared" si="311"/>
        <v>-3958907.0319215185</v>
      </c>
      <c r="AG146" s="155">
        <f t="shared" si="311"/>
        <v>-4253453.5124630285</v>
      </c>
      <c r="AH146" s="155">
        <f t="shared" si="311"/>
        <v>-4253453.5124630285</v>
      </c>
      <c r="AI146" s="155">
        <f t="shared" si="311"/>
        <v>-4253453.5124630285</v>
      </c>
      <c r="AJ146" s="155">
        <f t="shared" si="311"/>
        <v>-4547999.9930045391</v>
      </c>
      <c r="AK146" s="155">
        <f t="shared" si="311"/>
        <v>-4547999.9930045391</v>
      </c>
      <c r="AL146" s="155">
        <f t="shared" si="311"/>
        <v>-4547999.9930045391</v>
      </c>
      <c r="AM146" s="155">
        <f t="shared" si="311"/>
        <v>-4842546.4735460496</v>
      </c>
      <c r="AN146" s="184">
        <f t="shared" si="220"/>
        <v>-4842546.4735460496</v>
      </c>
      <c r="AO146" s="155"/>
      <c r="AQ146" s="155">
        <f t="shared" si="289"/>
        <v>-2756244.7180715939</v>
      </c>
      <c r="AR146" s="155">
        <f t="shared" si="265"/>
        <v>-91984.446378932582</v>
      </c>
      <c r="AS146" s="155">
        <f t="shared" si="262"/>
        <v>-83472.452833419418</v>
      </c>
      <c r="AT146" s="155">
        <f t="shared" si="262"/>
        <v>-75235.039724858289</v>
      </c>
      <c r="AU146" s="155">
        <f t="shared" si="262"/>
        <v>-66723.04617934514</v>
      </c>
      <c r="AV146" s="155">
        <f t="shared" si="262"/>
        <v>-58485.63307078401</v>
      </c>
      <c r="AW146" s="155">
        <f t="shared" si="262"/>
        <v>-49973.639525270839</v>
      </c>
      <c r="AX146" s="155">
        <f t="shared" si="262"/>
        <v>-41461.645979757675</v>
      </c>
      <c r="AY146" s="155">
        <f t="shared" si="262"/>
        <v>-33773.39374510062</v>
      </c>
      <c r="AZ146" s="155">
        <f t="shared" si="262"/>
        <v>-25261.400199587457</v>
      </c>
      <c r="BA146" s="155">
        <f t="shared" si="262"/>
        <v>-17023.987091026327</v>
      </c>
      <c r="BB146" s="155">
        <f t="shared" si="262"/>
        <v>-8511.9935455131636</v>
      </c>
      <c r="BC146" s="155">
        <f t="shared" si="262"/>
        <v>-274.58043695203759</v>
      </c>
      <c r="BD146" s="155">
        <f t="shared" si="290"/>
        <v>-3958907.0319215185</v>
      </c>
      <c r="BE146" s="155">
        <f t="shared" si="216"/>
        <v>-3308425.9767821422</v>
      </c>
    </row>
    <row r="147" spans="1:57" x14ac:dyDescent="0.15">
      <c r="A147" s="39" t="s">
        <v>655</v>
      </c>
      <c r="G147" s="155">
        <v>1219491.44</v>
      </c>
      <c r="H147" s="155">
        <f t="shared" si="305"/>
        <v>1219491.44</v>
      </c>
      <c r="I147" s="155">
        <f t="shared" si="305"/>
        <v>1219491.44</v>
      </c>
      <c r="J147" s="155">
        <f t="shared" si="305"/>
        <v>1219491.44</v>
      </c>
      <c r="K147" s="155">
        <f t="shared" si="305"/>
        <v>1219491.44</v>
      </c>
      <c r="L147" s="155">
        <f t="shared" si="305"/>
        <v>1219491.44</v>
      </c>
      <c r="M147" s="155">
        <f t="shared" si="305"/>
        <v>1219491.44</v>
      </c>
      <c r="N147" s="184">
        <f t="shared" si="285"/>
        <v>1219491.44</v>
      </c>
      <c r="O147" s="155">
        <f t="shared" si="286"/>
        <v>1219491.44</v>
      </c>
      <c r="P147" s="155">
        <f t="shared" ref="P147:Z147" si="312">+O147+SUMIF($B$332:$B$370,$A147,P$332:P$370)</f>
        <v>1219491.44</v>
      </c>
      <c r="Q147" s="155">
        <f t="shared" si="312"/>
        <v>1219491.44</v>
      </c>
      <c r="R147" s="155">
        <f t="shared" si="312"/>
        <v>1219491.44</v>
      </c>
      <c r="S147" s="155">
        <f t="shared" si="312"/>
        <v>1219491.44</v>
      </c>
      <c r="T147" s="155">
        <f t="shared" si="312"/>
        <v>1219491.44</v>
      </c>
      <c r="U147" s="155">
        <f t="shared" si="312"/>
        <v>1219491.44</v>
      </c>
      <c r="V147" s="155">
        <f t="shared" si="312"/>
        <v>1219491.44</v>
      </c>
      <c r="W147" s="155">
        <f t="shared" si="312"/>
        <v>1219491.44</v>
      </c>
      <c r="X147" s="155">
        <f t="shared" si="312"/>
        <v>1219491.44</v>
      </c>
      <c r="Y147" s="155">
        <f t="shared" si="312"/>
        <v>1219491.44</v>
      </c>
      <c r="Z147" s="155">
        <f t="shared" si="312"/>
        <v>1219491.44</v>
      </c>
      <c r="AA147" s="184">
        <f>+Z147</f>
        <v>1219491.44</v>
      </c>
      <c r="AB147" s="155">
        <f t="shared" ref="AB147:AM147" si="313">+AA147+SUMIF($B$332:$B$370,$A147,AB$332:AB$370)</f>
        <v>1219491.44</v>
      </c>
      <c r="AC147" s="155">
        <f t="shared" si="313"/>
        <v>1219491.44</v>
      </c>
      <c r="AD147" s="155">
        <f t="shared" si="313"/>
        <v>1219491.44</v>
      </c>
      <c r="AE147" s="155">
        <f t="shared" si="313"/>
        <v>1219491.44</v>
      </c>
      <c r="AF147" s="155">
        <f t="shared" si="313"/>
        <v>1219491.44</v>
      </c>
      <c r="AG147" s="155">
        <f t="shared" si="313"/>
        <v>1219491.44</v>
      </c>
      <c r="AH147" s="155">
        <f t="shared" si="313"/>
        <v>1219491.44</v>
      </c>
      <c r="AI147" s="155">
        <f t="shared" si="313"/>
        <v>1219491.44</v>
      </c>
      <c r="AJ147" s="155">
        <f t="shared" si="313"/>
        <v>1219491.44</v>
      </c>
      <c r="AK147" s="155">
        <f t="shared" si="313"/>
        <v>1219491.44</v>
      </c>
      <c r="AL147" s="155">
        <f t="shared" si="313"/>
        <v>1219491.44</v>
      </c>
      <c r="AM147" s="155">
        <f t="shared" si="313"/>
        <v>1219491.44</v>
      </c>
      <c r="AN147" s="184">
        <f>+AM147</f>
        <v>1219491.44</v>
      </c>
      <c r="AO147" s="155"/>
      <c r="AQ147" s="155">
        <f t="shared" si="289"/>
        <v>1219491.44</v>
      </c>
      <c r="AR147" s="155">
        <f t="shared" si="265"/>
        <v>0</v>
      </c>
      <c r="AS147" s="155">
        <f t="shared" si="262"/>
        <v>0</v>
      </c>
      <c r="AT147" s="155">
        <f t="shared" si="262"/>
        <v>0</v>
      </c>
      <c r="AU147" s="155">
        <f t="shared" si="262"/>
        <v>0</v>
      </c>
      <c r="AV147" s="155">
        <f t="shared" si="262"/>
        <v>0</v>
      </c>
      <c r="AW147" s="155">
        <f t="shared" si="262"/>
        <v>0</v>
      </c>
      <c r="AX147" s="155">
        <f t="shared" si="262"/>
        <v>0</v>
      </c>
      <c r="AY147" s="155">
        <f t="shared" si="262"/>
        <v>0</v>
      </c>
      <c r="AZ147" s="155">
        <f t="shared" si="262"/>
        <v>0</v>
      </c>
      <c r="BA147" s="155">
        <f t="shared" si="262"/>
        <v>0</v>
      </c>
      <c r="BB147" s="155">
        <f t="shared" si="262"/>
        <v>0</v>
      </c>
      <c r="BC147" s="155">
        <f t="shared" si="262"/>
        <v>0</v>
      </c>
      <c r="BD147" s="155">
        <f t="shared" si="290"/>
        <v>1219491.44</v>
      </c>
      <c r="BE147" s="155">
        <f t="shared" si="216"/>
        <v>1219491.44</v>
      </c>
    </row>
    <row r="148" spans="1:57" x14ac:dyDescent="0.15">
      <c r="A148" s="39" t="s">
        <v>83</v>
      </c>
      <c r="G148" s="155">
        <v>19131.259999999998</v>
      </c>
      <c r="H148" s="155">
        <f t="shared" si="305"/>
        <v>19131.259999999998</v>
      </c>
      <c r="I148" s="155">
        <f t="shared" si="305"/>
        <v>19131.259999999998</v>
      </c>
      <c r="J148" s="155">
        <f t="shared" si="305"/>
        <v>19131.259999999998</v>
      </c>
      <c r="K148" s="155">
        <f t="shared" si="305"/>
        <v>19131.259999999998</v>
      </c>
      <c r="L148" s="155">
        <f t="shared" si="305"/>
        <v>19131.259999999998</v>
      </c>
      <c r="M148" s="155">
        <f t="shared" si="305"/>
        <v>19131.259999999998</v>
      </c>
      <c r="N148" s="184">
        <f t="shared" si="285"/>
        <v>19131.259999999998</v>
      </c>
      <c r="O148" s="155">
        <f t="shared" si="286"/>
        <v>19131.259999999998</v>
      </c>
      <c r="P148" s="155">
        <f t="shared" ref="P148:Z148" si="314">+O148+SUMIF($B$332:$B$370,$A148,P$332:P$370)</f>
        <v>19131.259999999998</v>
      </c>
      <c r="Q148" s="155">
        <f t="shared" si="314"/>
        <v>19131.259999999998</v>
      </c>
      <c r="R148" s="155">
        <f t="shared" si="314"/>
        <v>19131.259999999998</v>
      </c>
      <c r="S148" s="155">
        <f t="shared" si="314"/>
        <v>19131.259999999998</v>
      </c>
      <c r="T148" s="155">
        <f t="shared" si="314"/>
        <v>19131.259999999998</v>
      </c>
      <c r="U148" s="155">
        <f t="shared" si="314"/>
        <v>19131.259999999998</v>
      </c>
      <c r="V148" s="155">
        <f t="shared" si="314"/>
        <v>19131.259999999998</v>
      </c>
      <c r="W148" s="155">
        <f t="shared" si="314"/>
        <v>19131.259999999998</v>
      </c>
      <c r="X148" s="155">
        <f t="shared" si="314"/>
        <v>19131.259999999998</v>
      </c>
      <c r="Y148" s="155">
        <f t="shared" si="314"/>
        <v>19131.259999999998</v>
      </c>
      <c r="Z148" s="155">
        <f t="shared" si="314"/>
        <v>19131.259999999998</v>
      </c>
      <c r="AA148" s="184">
        <f t="shared" si="218"/>
        <v>19131.259999999998</v>
      </c>
      <c r="AB148" s="155">
        <f t="shared" ref="AB148:AM148" si="315">+AA148+SUMIF($B$332:$B$370,$A148,AB$332:AB$370)</f>
        <v>19131.259999999998</v>
      </c>
      <c r="AC148" s="155">
        <f t="shared" si="315"/>
        <v>19131.259999999998</v>
      </c>
      <c r="AD148" s="155">
        <f t="shared" si="315"/>
        <v>19131.259999999998</v>
      </c>
      <c r="AE148" s="155">
        <f t="shared" si="315"/>
        <v>19131.259999999998</v>
      </c>
      <c r="AF148" s="155">
        <f t="shared" si="315"/>
        <v>19131.259999999998</v>
      </c>
      <c r="AG148" s="155">
        <f t="shared" si="315"/>
        <v>19131.259999999998</v>
      </c>
      <c r="AH148" s="155">
        <f t="shared" si="315"/>
        <v>19131.259999999998</v>
      </c>
      <c r="AI148" s="155">
        <f t="shared" si="315"/>
        <v>19131.259999999998</v>
      </c>
      <c r="AJ148" s="155">
        <f t="shared" si="315"/>
        <v>19131.259999999998</v>
      </c>
      <c r="AK148" s="155">
        <f t="shared" si="315"/>
        <v>19131.259999999998</v>
      </c>
      <c r="AL148" s="155">
        <f t="shared" si="315"/>
        <v>19131.259999999998</v>
      </c>
      <c r="AM148" s="155">
        <f t="shared" si="315"/>
        <v>19131.259999999998</v>
      </c>
      <c r="AN148" s="184">
        <f t="shared" si="220"/>
        <v>19131.259999999998</v>
      </c>
      <c r="AO148" s="155"/>
      <c r="AQ148" s="155">
        <f t="shared" si="289"/>
        <v>19131.259999999998</v>
      </c>
      <c r="AR148" s="155">
        <f t="shared" si="265"/>
        <v>0</v>
      </c>
      <c r="AS148" s="155">
        <f t="shared" si="262"/>
        <v>0</v>
      </c>
      <c r="AT148" s="155">
        <f t="shared" si="262"/>
        <v>0</v>
      </c>
      <c r="AU148" s="155">
        <f t="shared" si="262"/>
        <v>0</v>
      </c>
      <c r="AV148" s="155">
        <f t="shared" si="262"/>
        <v>0</v>
      </c>
      <c r="AW148" s="155">
        <f t="shared" ref="AS148:BC152" si="316">($BD148-$AQ148)/12*AW$6</f>
        <v>0</v>
      </c>
      <c r="AX148" s="155">
        <f t="shared" si="316"/>
        <v>0</v>
      </c>
      <c r="AY148" s="155">
        <f t="shared" si="316"/>
        <v>0</v>
      </c>
      <c r="AZ148" s="155">
        <f t="shared" si="316"/>
        <v>0</v>
      </c>
      <c r="BA148" s="155">
        <f t="shared" si="316"/>
        <v>0</v>
      </c>
      <c r="BB148" s="155">
        <f t="shared" si="316"/>
        <v>0</v>
      </c>
      <c r="BC148" s="155">
        <f t="shared" si="316"/>
        <v>0</v>
      </c>
      <c r="BD148" s="155">
        <f t="shared" si="290"/>
        <v>19131.259999999998</v>
      </c>
      <c r="BE148" s="155">
        <f t="shared" si="216"/>
        <v>19131.259999999998</v>
      </c>
    </row>
    <row r="149" spans="1:57" x14ac:dyDescent="0.15">
      <c r="A149" s="39" t="s">
        <v>84</v>
      </c>
      <c r="G149" s="155">
        <v>276513.96999999997</v>
      </c>
      <c r="H149" s="155">
        <f t="shared" si="305"/>
        <v>276513.96999999997</v>
      </c>
      <c r="I149" s="155">
        <f t="shared" si="305"/>
        <v>276513.96999999997</v>
      </c>
      <c r="J149" s="155">
        <f t="shared" si="305"/>
        <v>276513.96999999997</v>
      </c>
      <c r="K149" s="155">
        <f t="shared" si="305"/>
        <v>276513.96999999997</v>
      </c>
      <c r="L149" s="155">
        <f t="shared" si="305"/>
        <v>276513.96999999997</v>
      </c>
      <c r="M149" s="155">
        <f t="shared" si="305"/>
        <v>276513.96999999997</v>
      </c>
      <c r="N149" s="184">
        <f t="shared" si="285"/>
        <v>276513.96999999997</v>
      </c>
      <c r="O149" s="155">
        <f t="shared" si="286"/>
        <v>276513.96999999997</v>
      </c>
      <c r="P149" s="155">
        <f t="shared" ref="P149:Z149" si="317">+O149+SUMIF($B$332:$B$370,$A149,P$332:P$370)</f>
        <v>276513.96999999997</v>
      </c>
      <c r="Q149" s="155">
        <f t="shared" si="317"/>
        <v>276513.96999999997</v>
      </c>
      <c r="R149" s="155">
        <f t="shared" si="317"/>
        <v>276513.96999999997</v>
      </c>
      <c r="S149" s="155">
        <f t="shared" si="317"/>
        <v>276513.96999999997</v>
      </c>
      <c r="T149" s="155">
        <f t="shared" si="317"/>
        <v>276513.96999999997</v>
      </c>
      <c r="U149" s="155">
        <f t="shared" si="317"/>
        <v>276513.96999999997</v>
      </c>
      <c r="V149" s="155">
        <f t="shared" si="317"/>
        <v>276513.96999999997</v>
      </c>
      <c r="W149" s="155">
        <f t="shared" si="317"/>
        <v>276513.96999999997</v>
      </c>
      <c r="X149" s="155">
        <f t="shared" si="317"/>
        <v>276513.96999999997</v>
      </c>
      <c r="Y149" s="155">
        <f t="shared" si="317"/>
        <v>276513.96999999997</v>
      </c>
      <c r="Z149" s="155">
        <f t="shared" si="317"/>
        <v>276513.96999999997</v>
      </c>
      <c r="AA149" s="184">
        <f t="shared" si="218"/>
        <v>276513.96999999997</v>
      </c>
      <c r="AB149" s="155">
        <f t="shared" ref="AB149:AM149" si="318">+AA149+SUMIF($B$332:$B$370,$A149,AB$332:AB$370)</f>
        <v>276513.96999999997</v>
      </c>
      <c r="AC149" s="155">
        <f t="shared" si="318"/>
        <v>276513.96999999997</v>
      </c>
      <c r="AD149" s="155">
        <f t="shared" si="318"/>
        <v>276513.96999999997</v>
      </c>
      <c r="AE149" s="155">
        <f t="shared" si="318"/>
        <v>276513.96999999997</v>
      </c>
      <c r="AF149" s="155">
        <f t="shared" si="318"/>
        <v>276513.96999999997</v>
      </c>
      <c r="AG149" s="155">
        <f t="shared" si="318"/>
        <v>276513.96999999997</v>
      </c>
      <c r="AH149" s="155">
        <f t="shared" si="318"/>
        <v>276513.96999999997</v>
      </c>
      <c r="AI149" s="155">
        <f t="shared" si="318"/>
        <v>276513.96999999997</v>
      </c>
      <c r="AJ149" s="155">
        <f t="shared" si="318"/>
        <v>276513.96999999997</v>
      </c>
      <c r="AK149" s="155">
        <f t="shared" si="318"/>
        <v>276513.96999999997</v>
      </c>
      <c r="AL149" s="155">
        <f t="shared" si="318"/>
        <v>276513.96999999997</v>
      </c>
      <c r="AM149" s="155">
        <f t="shared" si="318"/>
        <v>276513.96999999997</v>
      </c>
      <c r="AN149" s="184">
        <f t="shared" si="220"/>
        <v>276513.96999999997</v>
      </c>
      <c r="AO149" s="155"/>
      <c r="AQ149" s="155">
        <f t="shared" si="289"/>
        <v>276513.96999999997</v>
      </c>
      <c r="AR149" s="155">
        <f t="shared" si="265"/>
        <v>0</v>
      </c>
      <c r="AS149" s="155">
        <f t="shared" si="316"/>
        <v>0</v>
      </c>
      <c r="AT149" s="155">
        <f t="shared" si="316"/>
        <v>0</v>
      </c>
      <c r="AU149" s="155">
        <f t="shared" si="316"/>
        <v>0</v>
      </c>
      <c r="AV149" s="155">
        <f t="shared" si="316"/>
        <v>0</v>
      </c>
      <c r="AW149" s="155">
        <f t="shared" si="316"/>
        <v>0</v>
      </c>
      <c r="AX149" s="155">
        <f t="shared" si="316"/>
        <v>0</v>
      </c>
      <c r="AY149" s="155">
        <f t="shared" si="316"/>
        <v>0</v>
      </c>
      <c r="AZ149" s="155">
        <f t="shared" si="316"/>
        <v>0</v>
      </c>
      <c r="BA149" s="155">
        <f t="shared" si="316"/>
        <v>0</v>
      </c>
      <c r="BB149" s="155">
        <f t="shared" si="316"/>
        <v>0</v>
      </c>
      <c r="BC149" s="155">
        <f t="shared" si="316"/>
        <v>0</v>
      </c>
      <c r="BD149" s="155">
        <f t="shared" si="290"/>
        <v>276513.96999999997</v>
      </c>
      <c r="BE149" s="155">
        <f t="shared" si="216"/>
        <v>276513.96999999997</v>
      </c>
    </row>
    <row r="150" spans="1:57" ht="9" thickBot="1" x14ac:dyDescent="0.2">
      <c r="A150" s="39" t="s">
        <v>85</v>
      </c>
      <c r="G150" s="155">
        <v>195700.57</v>
      </c>
      <c r="H150" s="155">
        <f t="shared" si="305"/>
        <v>195700.57</v>
      </c>
      <c r="I150" s="155">
        <f t="shared" si="305"/>
        <v>195700.57</v>
      </c>
      <c r="J150" s="155">
        <f t="shared" si="305"/>
        <v>195700.57</v>
      </c>
      <c r="K150" s="155">
        <f t="shared" si="305"/>
        <v>195700.57</v>
      </c>
      <c r="L150" s="155">
        <f t="shared" si="305"/>
        <v>195700.57</v>
      </c>
      <c r="M150" s="155">
        <f t="shared" si="305"/>
        <v>195700.57</v>
      </c>
      <c r="N150" s="185">
        <f t="shared" si="285"/>
        <v>195700.57</v>
      </c>
      <c r="O150" s="155">
        <f t="shared" si="286"/>
        <v>195700.57</v>
      </c>
      <c r="P150" s="155">
        <f t="shared" ref="P150:Z150" si="319">+O150+SUMIF($B$332:$B$370,$A150,P$332:P$370)</f>
        <v>195700.57</v>
      </c>
      <c r="Q150" s="155">
        <f t="shared" si="319"/>
        <v>195700.57</v>
      </c>
      <c r="R150" s="155">
        <f t="shared" si="319"/>
        <v>195700.57</v>
      </c>
      <c r="S150" s="155">
        <f t="shared" si="319"/>
        <v>195700.57</v>
      </c>
      <c r="T150" s="155">
        <f t="shared" si="319"/>
        <v>195700.57</v>
      </c>
      <c r="U150" s="155">
        <f t="shared" si="319"/>
        <v>195700.57</v>
      </c>
      <c r="V150" s="155">
        <f t="shared" si="319"/>
        <v>195700.57</v>
      </c>
      <c r="W150" s="155">
        <f t="shared" si="319"/>
        <v>195700.57</v>
      </c>
      <c r="X150" s="155">
        <f t="shared" si="319"/>
        <v>195700.57</v>
      </c>
      <c r="Y150" s="155">
        <f t="shared" si="319"/>
        <v>195700.57</v>
      </c>
      <c r="Z150" s="155">
        <f t="shared" si="319"/>
        <v>195700.57</v>
      </c>
      <c r="AA150" s="185">
        <f>+Z150</f>
        <v>195700.57</v>
      </c>
      <c r="AB150" s="155">
        <f t="shared" ref="AB150:AM150" si="320">+AA150+SUMIF($B$332:$B$370,$A150,AB$332:AB$370)</f>
        <v>195700.57</v>
      </c>
      <c r="AC150" s="155">
        <f t="shared" si="320"/>
        <v>195700.57</v>
      </c>
      <c r="AD150" s="155">
        <f t="shared" si="320"/>
        <v>195700.57</v>
      </c>
      <c r="AE150" s="155">
        <f t="shared" si="320"/>
        <v>195700.57</v>
      </c>
      <c r="AF150" s="155">
        <f t="shared" si="320"/>
        <v>195700.57</v>
      </c>
      <c r="AG150" s="155">
        <f t="shared" si="320"/>
        <v>195700.57</v>
      </c>
      <c r="AH150" s="155">
        <f t="shared" si="320"/>
        <v>195700.57</v>
      </c>
      <c r="AI150" s="155">
        <f t="shared" si="320"/>
        <v>195700.57</v>
      </c>
      <c r="AJ150" s="155">
        <f t="shared" si="320"/>
        <v>195700.57</v>
      </c>
      <c r="AK150" s="155">
        <f t="shared" si="320"/>
        <v>195700.57</v>
      </c>
      <c r="AL150" s="155">
        <f t="shared" si="320"/>
        <v>195700.57</v>
      </c>
      <c r="AM150" s="155">
        <f t="shared" si="320"/>
        <v>195700.57</v>
      </c>
      <c r="AN150" s="185">
        <f>+AM150</f>
        <v>195700.57</v>
      </c>
      <c r="AO150" s="155"/>
      <c r="AQ150" s="155">
        <f t="shared" si="289"/>
        <v>195700.57</v>
      </c>
      <c r="AR150" s="155">
        <f t="shared" si="265"/>
        <v>0</v>
      </c>
      <c r="AS150" s="155">
        <f t="shared" si="316"/>
        <v>0</v>
      </c>
      <c r="AT150" s="155">
        <f t="shared" si="316"/>
        <v>0</v>
      </c>
      <c r="AU150" s="155">
        <f t="shared" si="316"/>
        <v>0</v>
      </c>
      <c r="AV150" s="155">
        <f t="shared" si="316"/>
        <v>0</v>
      </c>
      <c r="AW150" s="155">
        <f t="shared" si="316"/>
        <v>0</v>
      </c>
      <c r="AX150" s="155">
        <f t="shared" si="316"/>
        <v>0</v>
      </c>
      <c r="AY150" s="155">
        <f t="shared" si="316"/>
        <v>0</v>
      </c>
      <c r="AZ150" s="155">
        <f t="shared" si="316"/>
        <v>0</v>
      </c>
      <c r="BA150" s="155">
        <f t="shared" si="316"/>
        <v>0</v>
      </c>
      <c r="BB150" s="155">
        <f t="shared" si="316"/>
        <v>0</v>
      </c>
      <c r="BC150" s="155">
        <f t="shared" si="316"/>
        <v>0</v>
      </c>
      <c r="BD150" s="155">
        <f t="shared" si="290"/>
        <v>195700.57</v>
      </c>
      <c r="BE150" s="155">
        <f t="shared" si="216"/>
        <v>195700.57</v>
      </c>
    </row>
    <row r="151" spans="1:57" ht="9" thickBot="1" x14ac:dyDescent="0.2">
      <c r="A151" s="39" t="s">
        <v>1038</v>
      </c>
      <c r="G151" s="155">
        <v>-2574305.46</v>
      </c>
      <c r="H151" s="155">
        <f t="shared" si="305"/>
        <v>-2574305.46</v>
      </c>
      <c r="I151" s="155">
        <f t="shared" si="305"/>
        <v>-2574305.46</v>
      </c>
      <c r="J151" s="155">
        <f t="shared" si="305"/>
        <v>-2574305.46</v>
      </c>
      <c r="K151" s="155">
        <f t="shared" si="305"/>
        <v>-2574305.46</v>
      </c>
      <c r="L151" s="155">
        <f t="shared" si="305"/>
        <v>-2574305.46</v>
      </c>
      <c r="M151" s="155">
        <f t="shared" si="305"/>
        <v>-2574305.46</v>
      </c>
      <c r="N151" s="185">
        <f t="shared" si="285"/>
        <v>-2574305.46</v>
      </c>
      <c r="O151" s="155">
        <f t="shared" si="286"/>
        <v>-2574305.46</v>
      </c>
      <c r="P151" s="155">
        <f t="shared" ref="P151:Z151" si="321">+O151+SUMIF($B$332:$B$370,$A151,P$332:P$370)</f>
        <v>-2574305.46</v>
      </c>
      <c r="Q151" s="155">
        <f t="shared" si="321"/>
        <v>-2574305.46</v>
      </c>
      <c r="R151" s="155">
        <f t="shared" si="321"/>
        <v>-2574305.46</v>
      </c>
      <c r="S151" s="155">
        <f t="shared" si="321"/>
        <v>-2574305.46</v>
      </c>
      <c r="T151" s="155">
        <f t="shared" si="321"/>
        <v>-2574305.46</v>
      </c>
      <c r="U151" s="155">
        <f t="shared" si="321"/>
        <v>-2574305.46</v>
      </c>
      <c r="V151" s="155">
        <f t="shared" si="321"/>
        <v>-2574305.46</v>
      </c>
      <c r="W151" s="155">
        <f t="shared" si="321"/>
        <v>-2574305.46</v>
      </c>
      <c r="X151" s="155">
        <f t="shared" si="321"/>
        <v>-2574305.46</v>
      </c>
      <c r="Y151" s="155">
        <f t="shared" si="321"/>
        <v>-2574305.46</v>
      </c>
      <c r="Z151" s="155">
        <f t="shared" si="321"/>
        <v>-2574305.46</v>
      </c>
      <c r="AA151" s="185">
        <f>+Z151</f>
        <v>-2574305.46</v>
      </c>
      <c r="AB151" s="155">
        <f t="shared" ref="AB151:AM151" si="322">+AA151+SUMIF($B$332:$B$370,$A151,AB$332:AB$370)</f>
        <v>-2574305.46</v>
      </c>
      <c r="AC151" s="155">
        <f t="shared" si="322"/>
        <v>-2574305.46</v>
      </c>
      <c r="AD151" s="155">
        <f t="shared" si="322"/>
        <v>-2574305.46</v>
      </c>
      <c r="AE151" s="155">
        <f t="shared" si="322"/>
        <v>-2574305.46</v>
      </c>
      <c r="AF151" s="155">
        <f t="shared" si="322"/>
        <v>-2574305.46</v>
      </c>
      <c r="AG151" s="155">
        <f t="shared" si="322"/>
        <v>-2574305.46</v>
      </c>
      <c r="AH151" s="155">
        <f t="shared" si="322"/>
        <v>-2574305.46</v>
      </c>
      <c r="AI151" s="155">
        <f t="shared" si="322"/>
        <v>-2574305.46</v>
      </c>
      <c r="AJ151" s="155">
        <f t="shared" si="322"/>
        <v>-2574305.46</v>
      </c>
      <c r="AK151" s="155">
        <f t="shared" si="322"/>
        <v>-2574305.46</v>
      </c>
      <c r="AL151" s="155">
        <f t="shared" si="322"/>
        <v>-2574305.46</v>
      </c>
      <c r="AM151" s="155">
        <f t="shared" si="322"/>
        <v>-2574305.46</v>
      </c>
      <c r="AN151" s="185">
        <f>+AM151</f>
        <v>-2574305.46</v>
      </c>
      <c r="AO151" s="155"/>
      <c r="AQ151" s="155">
        <f t="shared" si="289"/>
        <v>-2574305.46</v>
      </c>
      <c r="AR151" s="155">
        <f t="shared" si="265"/>
        <v>0</v>
      </c>
      <c r="AS151" s="155">
        <f t="shared" si="316"/>
        <v>0</v>
      </c>
      <c r="AT151" s="155">
        <f t="shared" si="316"/>
        <v>0</v>
      </c>
      <c r="AU151" s="155">
        <f t="shared" si="316"/>
        <v>0</v>
      </c>
      <c r="AV151" s="155">
        <f t="shared" si="316"/>
        <v>0</v>
      </c>
      <c r="AW151" s="155">
        <f t="shared" si="316"/>
        <v>0</v>
      </c>
      <c r="AX151" s="155">
        <f t="shared" si="316"/>
        <v>0</v>
      </c>
      <c r="AY151" s="155">
        <f t="shared" si="316"/>
        <v>0</v>
      </c>
      <c r="AZ151" s="155">
        <f t="shared" si="316"/>
        <v>0</v>
      </c>
      <c r="BA151" s="155">
        <f t="shared" si="316"/>
        <v>0</v>
      </c>
      <c r="BB151" s="155">
        <f t="shared" si="316"/>
        <v>0</v>
      </c>
      <c r="BC151" s="155">
        <f t="shared" si="316"/>
        <v>0</v>
      </c>
      <c r="BD151" s="155">
        <f t="shared" si="290"/>
        <v>-2574305.46</v>
      </c>
      <c r="BE151" s="155">
        <f t="shared" si="216"/>
        <v>-2574305.46</v>
      </c>
    </row>
    <row r="152" spans="1:57" ht="9" thickBot="1" x14ac:dyDescent="0.2">
      <c r="A152" s="39" t="s">
        <v>1039</v>
      </c>
      <c r="G152" s="155">
        <v>1280459.48</v>
      </c>
      <c r="H152" s="155">
        <f t="shared" si="305"/>
        <v>1280459.48</v>
      </c>
      <c r="I152" s="155">
        <f t="shared" si="305"/>
        <v>1280459.48</v>
      </c>
      <c r="J152" s="155">
        <f t="shared" si="305"/>
        <v>1280459.48</v>
      </c>
      <c r="K152" s="155">
        <f t="shared" si="305"/>
        <v>1280459.48</v>
      </c>
      <c r="L152" s="155">
        <f t="shared" si="305"/>
        <v>1280459.48</v>
      </c>
      <c r="M152" s="155">
        <f t="shared" si="305"/>
        <v>1280459.48</v>
      </c>
      <c r="N152" s="185">
        <f t="shared" si="285"/>
        <v>1280459.48</v>
      </c>
      <c r="O152" s="155">
        <f t="shared" si="286"/>
        <v>1280459.48</v>
      </c>
      <c r="P152" s="155">
        <f t="shared" ref="P152:Z152" si="323">+O152+SUMIF($B$332:$B$370,$A152,P$332:P$370)</f>
        <v>1280459.48</v>
      </c>
      <c r="Q152" s="155">
        <f t="shared" si="323"/>
        <v>1280459.48</v>
      </c>
      <c r="R152" s="155">
        <f t="shared" si="323"/>
        <v>1280459.48</v>
      </c>
      <c r="S152" s="155">
        <f t="shared" si="323"/>
        <v>1280459.48</v>
      </c>
      <c r="T152" s="155">
        <f t="shared" si="323"/>
        <v>1280459.48</v>
      </c>
      <c r="U152" s="155">
        <f t="shared" si="323"/>
        <v>1280459.48</v>
      </c>
      <c r="V152" s="155">
        <f t="shared" si="323"/>
        <v>1280459.48</v>
      </c>
      <c r="W152" s="155">
        <f t="shared" si="323"/>
        <v>1280459.48</v>
      </c>
      <c r="X152" s="155">
        <f t="shared" si="323"/>
        <v>1280459.48</v>
      </c>
      <c r="Y152" s="155">
        <f t="shared" si="323"/>
        <v>1280459.48</v>
      </c>
      <c r="Z152" s="155">
        <f t="shared" si="323"/>
        <v>1280459.48</v>
      </c>
      <c r="AA152" s="185">
        <f t="shared" si="218"/>
        <v>1280459.48</v>
      </c>
      <c r="AB152" s="155">
        <f t="shared" ref="AB152:AM152" si="324">+AA152+SUMIF($B$332:$B$370,$A152,AB$332:AB$370)</f>
        <v>1280459.48</v>
      </c>
      <c r="AC152" s="155">
        <f t="shared" si="324"/>
        <v>1280459.48</v>
      </c>
      <c r="AD152" s="155">
        <f t="shared" si="324"/>
        <v>1280459.48</v>
      </c>
      <c r="AE152" s="155">
        <f t="shared" si="324"/>
        <v>1280459.48</v>
      </c>
      <c r="AF152" s="155">
        <f t="shared" si="324"/>
        <v>1280459.48</v>
      </c>
      <c r="AG152" s="155">
        <f t="shared" si="324"/>
        <v>1280459.48</v>
      </c>
      <c r="AH152" s="155">
        <f t="shared" si="324"/>
        <v>1280459.48</v>
      </c>
      <c r="AI152" s="155">
        <f t="shared" si="324"/>
        <v>1280459.48</v>
      </c>
      <c r="AJ152" s="155">
        <f t="shared" si="324"/>
        <v>1280459.48</v>
      </c>
      <c r="AK152" s="155">
        <f t="shared" si="324"/>
        <v>1280459.48</v>
      </c>
      <c r="AL152" s="155">
        <f t="shared" si="324"/>
        <v>1280459.48</v>
      </c>
      <c r="AM152" s="155">
        <f t="shared" si="324"/>
        <v>1280459.48</v>
      </c>
      <c r="AN152" s="185">
        <f t="shared" si="220"/>
        <v>1280459.48</v>
      </c>
      <c r="AO152" s="155"/>
      <c r="AQ152" s="155">
        <f t="shared" si="289"/>
        <v>1280459.48</v>
      </c>
      <c r="AR152" s="155">
        <f t="shared" si="265"/>
        <v>0</v>
      </c>
      <c r="AS152" s="155">
        <f t="shared" si="316"/>
        <v>0</v>
      </c>
      <c r="AT152" s="155">
        <f t="shared" si="316"/>
        <v>0</v>
      </c>
      <c r="AU152" s="155">
        <f t="shared" si="316"/>
        <v>0</v>
      </c>
      <c r="AV152" s="155">
        <f t="shared" si="316"/>
        <v>0</v>
      </c>
      <c r="AW152" s="155">
        <f t="shared" si="316"/>
        <v>0</v>
      </c>
      <c r="AX152" s="155">
        <f t="shared" si="316"/>
        <v>0</v>
      </c>
      <c r="AY152" s="155">
        <f t="shared" si="316"/>
        <v>0</v>
      </c>
      <c r="AZ152" s="155">
        <f t="shared" si="316"/>
        <v>0</v>
      </c>
      <c r="BA152" s="155">
        <f t="shared" si="316"/>
        <v>0</v>
      </c>
      <c r="BB152" s="155">
        <f t="shared" si="316"/>
        <v>0</v>
      </c>
      <c r="BC152" s="155">
        <f t="shared" si="316"/>
        <v>0</v>
      </c>
      <c r="BD152" s="155">
        <f t="shared" si="290"/>
        <v>1280459.48</v>
      </c>
      <c r="BE152" s="155">
        <f t="shared" si="216"/>
        <v>1280459.48</v>
      </c>
    </row>
    <row r="153" spans="1:57" ht="9" thickBot="1" x14ac:dyDescent="0.2">
      <c r="G153" s="186">
        <f t="shared" ref="G153:R153" si="325">SUM(G104:G152)</f>
        <v>-223927958.14000008</v>
      </c>
      <c r="H153" s="186">
        <f t="shared" si="325"/>
        <v>-223927958.14000008</v>
      </c>
      <c r="I153" s="186">
        <f t="shared" si="325"/>
        <v>-223927958.14000008</v>
      </c>
      <c r="J153" s="186">
        <f t="shared" si="325"/>
        <v>-227190329.54621902</v>
      </c>
      <c r="K153" s="186">
        <f t="shared" si="325"/>
        <v>-227190329.54621902</v>
      </c>
      <c r="L153" s="186">
        <f t="shared" si="325"/>
        <v>-227190329.54621902</v>
      </c>
      <c r="M153" s="186">
        <f t="shared" si="325"/>
        <v>-229011299.24822685</v>
      </c>
      <c r="N153" s="175">
        <f t="shared" si="325"/>
        <v>-229011299.24822685</v>
      </c>
      <c r="O153" s="186">
        <f t="shared" si="325"/>
        <v>-229011299.24822685</v>
      </c>
      <c r="P153" s="186">
        <f t="shared" si="325"/>
        <v>-229011299.24822685</v>
      </c>
      <c r="Q153" s="186">
        <f t="shared" si="325"/>
        <v>-230464435.0464417</v>
      </c>
      <c r="R153" s="186">
        <f t="shared" si="325"/>
        <v>-230300607.15166387</v>
      </c>
      <c r="S153" s="186">
        <f t="shared" ref="S153:AA153" si="326">SUM(S104:S152)</f>
        <v>-230300607.15166387</v>
      </c>
      <c r="T153" s="186">
        <f t="shared" si="326"/>
        <v>-231914837.69189933</v>
      </c>
      <c r="U153" s="186">
        <f t="shared" si="326"/>
        <v>-231914837.69189933</v>
      </c>
      <c r="V153" s="186">
        <f t="shared" si="326"/>
        <v>-231914837.69189933</v>
      </c>
      <c r="W153" s="186">
        <f t="shared" si="326"/>
        <v>-233363873.66365555</v>
      </c>
      <c r="X153" s="186">
        <f t="shared" si="326"/>
        <v>-233363873.66365555</v>
      </c>
      <c r="Y153" s="186">
        <f t="shared" si="326"/>
        <v>-233363873.66365555</v>
      </c>
      <c r="Z153" s="186">
        <f t="shared" si="326"/>
        <v>-234812909.63539976</v>
      </c>
      <c r="AA153" s="175">
        <f t="shared" si="326"/>
        <v>-234812909.63539976</v>
      </c>
      <c r="AB153" s="186">
        <f t="shared" ref="AB153:AN153" si="327">SUM(AB104:AB152)</f>
        <v>-234812909.63539976</v>
      </c>
      <c r="AC153" s="186">
        <f t="shared" si="327"/>
        <v>-234812909.63539976</v>
      </c>
      <c r="AD153" s="186">
        <f t="shared" si="327"/>
        <v>-235815429.54476115</v>
      </c>
      <c r="AE153" s="186">
        <f t="shared" si="327"/>
        <v>-235639266.32557514</v>
      </c>
      <c r="AF153" s="186">
        <f t="shared" si="327"/>
        <v>-235639266.32557514</v>
      </c>
      <c r="AG153" s="186">
        <f t="shared" si="327"/>
        <v>-236817949.45412257</v>
      </c>
      <c r="AH153" s="186">
        <f t="shared" si="327"/>
        <v>-236817949.45412257</v>
      </c>
      <c r="AI153" s="186">
        <f t="shared" si="327"/>
        <v>-236817949.45412257</v>
      </c>
      <c r="AJ153" s="186">
        <f t="shared" si="327"/>
        <v>-237820469.36348403</v>
      </c>
      <c r="AK153" s="186">
        <f t="shared" si="327"/>
        <v>-237820469.36348403</v>
      </c>
      <c r="AL153" s="186">
        <f t="shared" si="327"/>
        <v>-237820469.36348403</v>
      </c>
      <c r="AM153" s="186">
        <f t="shared" si="327"/>
        <v>-238822989.27284554</v>
      </c>
      <c r="AN153" s="175">
        <f t="shared" si="327"/>
        <v>-238822989.27284554</v>
      </c>
      <c r="AO153" s="187"/>
      <c r="AQ153" s="186">
        <f>SUM(AQ104:AQ152)</f>
        <v>-230300607.15166387</v>
      </c>
      <c r="AR153" s="186">
        <f t="shared" ref="AR153:BE153" si="328">SUM(AR104:AR152)</f>
        <v>-408322.10576719115</v>
      </c>
      <c r="AS153" s="186">
        <f t="shared" si="328"/>
        <v>-370537.07508425741</v>
      </c>
      <c r="AT153" s="186">
        <f t="shared" si="328"/>
        <v>-333970.91635883704</v>
      </c>
      <c r="AU153" s="186">
        <f t="shared" si="328"/>
        <v>-296185.88567590294</v>
      </c>
      <c r="AV153" s="186">
        <f t="shared" si="328"/>
        <v>-259619.7269504829</v>
      </c>
      <c r="AW153" s="186">
        <f t="shared" si="328"/>
        <v>-221834.69626754877</v>
      </c>
      <c r="AX153" s="186">
        <f t="shared" si="328"/>
        <v>-184049.6655846147</v>
      </c>
      <c r="AY153" s="186">
        <f t="shared" si="328"/>
        <v>-149921.25077422257</v>
      </c>
      <c r="AZ153" s="186">
        <f t="shared" si="328"/>
        <v>-112136.22009128841</v>
      </c>
      <c r="BA153" s="186">
        <f t="shared" si="328"/>
        <v>-75570.061365868271</v>
      </c>
      <c r="BB153" s="186">
        <f t="shared" si="328"/>
        <v>-37785.030682934135</v>
      </c>
      <c r="BC153" s="186">
        <f t="shared" si="328"/>
        <v>-1218.8719575140044</v>
      </c>
      <c r="BD153" s="186"/>
      <c r="BE153" s="186">
        <f t="shared" si="328"/>
        <v>-232751758.65822449</v>
      </c>
    </row>
    <row r="154" spans="1:57" x14ac:dyDescent="0.15">
      <c r="G154" s="155"/>
      <c r="H154" s="155"/>
    </row>
    <row r="155" spans="1:57" x14ac:dyDescent="0.15">
      <c r="A155" s="182" t="s">
        <v>93</v>
      </c>
      <c r="G155" s="155"/>
      <c r="H155" s="155"/>
    </row>
    <row r="156" spans="1:57" x14ac:dyDescent="0.15">
      <c r="A156" s="39" t="s">
        <v>92</v>
      </c>
      <c r="G156" s="155">
        <v>40994.36</v>
      </c>
      <c r="H156" s="155">
        <f t="shared" ref="H156:M156" si="329">+G156</f>
        <v>40994.36</v>
      </c>
      <c r="I156" s="155">
        <f t="shared" si="329"/>
        <v>40994.36</v>
      </c>
      <c r="J156" s="155">
        <f t="shared" si="329"/>
        <v>40994.36</v>
      </c>
      <c r="K156" s="155">
        <f t="shared" si="329"/>
        <v>40994.36</v>
      </c>
      <c r="L156" s="155">
        <f t="shared" si="329"/>
        <v>40994.36</v>
      </c>
      <c r="M156" s="155">
        <f t="shared" si="329"/>
        <v>40994.36</v>
      </c>
      <c r="N156" s="155">
        <f>+M156</f>
        <v>40994.36</v>
      </c>
      <c r="O156" s="155">
        <f>+N156</f>
        <v>40994.36</v>
      </c>
      <c r="P156" s="155">
        <f t="shared" ref="P156:AD156" si="330">+O156</f>
        <v>40994.36</v>
      </c>
      <c r="Q156" s="155">
        <f t="shared" si="330"/>
        <v>40994.36</v>
      </c>
      <c r="R156" s="155">
        <f t="shared" si="330"/>
        <v>40994.36</v>
      </c>
      <c r="S156" s="155">
        <f t="shared" si="330"/>
        <v>40994.36</v>
      </c>
      <c r="T156" s="155">
        <f t="shared" si="330"/>
        <v>40994.36</v>
      </c>
      <c r="U156" s="155">
        <f t="shared" si="330"/>
        <v>40994.36</v>
      </c>
      <c r="V156" s="155">
        <f t="shared" si="330"/>
        <v>40994.36</v>
      </c>
      <c r="W156" s="155">
        <f t="shared" si="330"/>
        <v>40994.36</v>
      </c>
      <c r="X156" s="155">
        <f t="shared" si="330"/>
        <v>40994.36</v>
      </c>
      <c r="Y156" s="155">
        <f t="shared" si="330"/>
        <v>40994.36</v>
      </c>
      <c r="Z156" s="155">
        <f t="shared" si="330"/>
        <v>40994.36</v>
      </c>
      <c r="AA156" s="155">
        <f>+Z156</f>
        <v>40994.36</v>
      </c>
      <c r="AB156" s="155">
        <f t="shared" si="330"/>
        <v>40994.36</v>
      </c>
      <c r="AC156" s="155">
        <f t="shared" si="330"/>
        <v>40994.36</v>
      </c>
      <c r="AD156" s="155">
        <f t="shared" si="330"/>
        <v>40994.36</v>
      </c>
      <c r="AE156" s="155">
        <f>+AD156</f>
        <v>40994.36</v>
      </c>
      <c r="AF156" s="155">
        <f>+AE156</f>
        <v>40994.36</v>
      </c>
      <c r="AG156" s="155">
        <f>+AF156</f>
        <v>40994.36</v>
      </c>
      <c r="AH156" s="155">
        <f t="shared" ref="AH156:AM156" si="331">+AG156</f>
        <v>40994.36</v>
      </c>
      <c r="AI156" s="155">
        <f t="shared" si="331"/>
        <v>40994.36</v>
      </c>
      <c r="AJ156" s="155">
        <f t="shared" si="331"/>
        <v>40994.36</v>
      </c>
      <c r="AK156" s="155">
        <f t="shared" si="331"/>
        <v>40994.36</v>
      </c>
      <c r="AL156" s="155">
        <f t="shared" si="331"/>
        <v>40994.36</v>
      </c>
      <c r="AM156" s="155">
        <f t="shared" si="331"/>
        <v>40994.36</v>
      </c>
      <c r="AN156" s="155">
        <f>+AM156</f>
        <v>40994.36</v>
      </c>
      <c r="AO156" s="155"/>
      <c r="AQ156" s="155">
        <f>+R156</f>
        <v>40994.36</v>
      </c>
      <c r="AR156" s="155">
        <f>($BD156-$AQ156)/12*AR$6</f>
        <v>0</v>
      </c>
      <c r="AS156" s="155">
        <f t="shared" ref="AS156:BC156" si="332">($BD156-$AQ156)/12*AS$6</f>
        <v>0</v>
      </c>
      <c r="AT156" s="155">
        <f t="shared" si="332"/>
        <v>0</v>
      </c>
      <c r="AU156" s="155">
        <f t="shared" si="332"/>
        <v>0</v>
      </c>
      <c r="AV156" s="155">
        <f t="shared" si="332"/>
        <v>0</v>
      </c>
      <c r="AW156" s="155">
        <f t="shared" si="332"/>
        <v>0</v>
      </c>
      <c r="AX156" s="155">
        <f t="shared" si="332"/>
        <v>0</v>
      </c>
      <c r="AY156" s="155">
        <f t="shared" si="332"/>
        <v>0</v>
      </c>
      <c r="AZ156" s="155">
        <f t="shared" si="332"/>
        <v>0</v>
      </c>
      <c r="BA156" s="155">
        <f t="shared" si="332"/>
        <v>0</v>
      </c>
      <c r="BB156" s="155">
        <f t="shared" si="332"/>
        <v>0</v>
      </c>
      <c r="BC156" s="155">
        <f t="shared" si="332"/>
        <v>0</v>
      </c>
      <c r="BD156" s="155">
        <f>+AE156</f>
        <v>40994.36</v>
      </c>
      <c r="BE156" s="155">
        <f>SUM(AQ156:BC156)</f>
        <v>40994.36</v>
      </c>
    </row>
    <row r="157" spans="1:57" x14ac:dyDescent="0.15">
      <c r="G157" s="155"/>
      <c r="H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</row>
    <row r="158" spans="1:57" x14ac:dyDescent="0.15">
      <c r="A158" s="182" t="s">
        <v>94</v>
      </c>
      <c r="G158" s="155"/>
      <c r="H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</row>
    <row r="159" spans="1:57" x14ac:dyDescent="0.15">
      <c r="A159" s="39" t="s">
        <v>92</v>
      </c>
      <c r="G159" s="155">
        <v>10196.52</v>
      </c>
      <c r="H159" s="155">
        <f t="shared" ref="H159:M159" si="333">+G159</f>
        <v>10196.52</v>
      </c>
      <c r="I159" s="155">
        <f t="shared" si="333"/>
        <v>10196.52</v>
      </c>
      <c r="J159" s="155">
        <f t="shared" si="333"/>
        <v>10196.52</v>
      </c>
      <c r="K159" s="155">
        <f t="shared" si="333"/>
        <v>10196.52</v>
      </c>
      <c r="L159" s="155">
        <f t="shared" si="333"/>
        <v>10196.52</v>
      </c>
      <c r="M159" s="155">
        <f t="shared" si="333"/>
        <v>10196.52</v>
      </c>
      <c r="N159" s="155">
        <f>+M159</f>
        <v>10196.52</v>
      </c>
      <c r="O159" s="155">
        <f>+N159</f>
        <v>10196.52</v>
      </c>
      <c r="P159" s="155">
        <f t="shared" ref="P159:AD159" si="334">+O159</f>
        <v>10196.52</v>
      </c>
      <c r="Q159" s="155">
        <f t="shared" si="334"/>
        <v>10196.52</v>
      </c>
      <c r="R159" s="155">
        <f t="shared" si="334"/>
        <v>10196.52</v>
      </c>
      <c r="S159" s="155">
        <f t="shared" si="334"/>
        <v>10196.52</v>
      </c>
      <c r="T159" s="155">
        <f t="shared" si="334"/>
        <v>10196.52</v>
      </c>
      <c r="U159" s="155">
        <f t="shared" si="334"/>
        <v>10196.52</v>
      </c>
      <c r="V159" s="155">
        <f t="shared" si="334"/>
        <v>10196.52</v>
      </c>
      <c r="W159" s="155">
        <f t="shared" si="334"/>
        <v>10196.52</v>
      </c>
      <c r="X159" s="155">
        <f t="shared" si="334"/>
        <v>10196.52</v>
      </c>
      <c r="Y159" s="155">
        <f t="shared" si="334"/>
        <v>10196.52</v>
      </c>
      <c r="Z159" s="155">
        <f t="shared" si="334"/>
        <v>10196.52</v>
      </c>
      <c r="AA159" s="155">
        <f>+Z159</f>
        <v>10196.52</v>
      </c>
      <c r="AB159" s="155">
        <f t="shared" si="334"/>
        <v>10196.52</v>
      </c>
      <c r="AC159" s="155">
        <f t="shared" si="334"/>
        <v>10196.52</v>
      </c>
      <c r="AD159" s="155">
        <f t="shared" si="334"/>
        <v>10196.52</v>
      </c>
      <c r="AE159" s="155">
        <f>+AD159</f>
        <v>10196.52</v>
      </c>
      <c r="AF159" s="155">
        <f>+AE159</f>
        <v>10196.52</v>
      </c>
      <c r="AG159" s="155">
        <f>+AF159</f>
        <v>10196.52</v>
      </c>
      <c r="AH159" s="155">
        <f t="shared" ref="AH159:AM159" si="335">+AG159</f>
        <v>10196.52</v>
      </c>
      <c r="AI159" s="155">
        <f t="shared" si="335"/>
        <v>10196.52</v>
      </c>
      <c r="AJ159" s="155">
        <f t="shared" si="335"/>
        <v>10196.52</v>
      </c>
      <c r="AK159" s="155">
        <f t="shared" si="335"/>
        <v>10196.52</v>
      </c>
      <c r="AL159" s="155">
        <f t="shared" si="335"/>
        <v>10196.52</v>
      </c>
      <c r="AM159" s="155">
        <f t="shared" si="335"/>
        <v>10196.52</v>
      </c>
      <c r="AN159" s="155">
        <f>+AM159</f>
        <v>10196.52</v>
      </c>
      <c r="AQ159" s="155">
        <f>+R159</f>
        <v>10196.52</v>
      </c>
      <c r="AR159" s="155">
        <f>($BD159-$AQ159)/12*AR$6</f>
        <v>0</v>
      </c>
      <c r="AS159" s="155">
        <f t="shared" ref="AS159:BC159" si="336">($BD159-$AQ159)/12*AS$6</f>
        <v>0</v>
      </c>
      <c r="AT159" s="155">
        <f t="shared" si="336"/>
        <v>0</v>
      </c>
      <c r="AU159" s="155">
        <f t="shared" si="336"/>
        <v>0</v>
      </c>
      <c r="AV159" s="155">
        <f t="shared" si="336"/>
        <v>0</v>
      </c>
      <c r="AW159" s="155">
        <f t="shared" si="336"/>
        <v>0</v>
      </c>
      <c r="AX159" s="155">
        <f t="shared" si="336"/>
        <v>0</v>
      </c>
      <c r="AY159" s="155">
        <f t="shared" si="336"/>
        <v>0</v>
      </c>
      <c r="AZ159" s="155">
        <f t="shared" si="336"/>
        <v>0</v>
      </c>
      <c r="BA159" s="155">
        <f t="shared" si="336"/>
        <v>0</v>
      </c>
      <c r="BB159" s="155">
        <f t="shared" si="336"/>
        <v>0</v>
      </c>
      <c r="BC159" s="155">
        <f t="shared" si="336"/>
        <v>0</v>
      </c>
      <c r="BD159" s="155">
        <f>+AE159</f>
        <v>10196.52</v>
      </c>
      <c r="BE159" s="155">
        <f>SUM(AQ159:BC159)</f>
        <v>10196.52</v>
      </c>
    </row>
    <row r="160" spans="1:57" x14ac:dyDescent="0.15">
      <c r="G160" s="155"/>
      <c r="H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</row>
    <row r="161" spans="1:57" ht="9" thickBot="1" x14ac:dyDescent="0.2">
      <c r="A161" s="182" t="s">
        <v>111</v>
      </c>
      <c r="G161" s="155"/>
      <c r="H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</row>
    <row r="162" spans="1:57" x14ac:dyDescent="0.15">
      <c r="A162" s="39" t="s">
        <v>97</v>
      </c>
      <c r="G162" s="155">
        <v>11524331.82</v>
      </c>
      <c r="H162" s="187">
        <f t="shared" ref="H162:M164" si="337">+G162+H326</f>
        <v>11524331.82</v>
      </c>
      <c r="I162" s="187">
        <f t="shared" si="337"/>
        <v>11524331.82</v>
      </c>
      <c r="J162" s="187">
        <f t="shared" si="337"/>
        <v>11432702.430322707</v>
      </c>
      <c r="K162" s="187">
        <f t="shared" si="337"/>
        <v>11432702.430322707</v>
      </c>
      <c r="L162" s="187">
        <f t="shared" si="337"/>
        <v>11432702.430322707</v>
      </c>
      <c r="M162" s="187">
        <f t="shared" si="337"/>
        <v>11341073.040645413</v>
      </c>
      <c r="N162" s="183">
        <f>+M162</f>
        <v>11341073.040645413</v>
      </c>
      <c r="O162" s="187">
        <f>+N162+O326</f>
        <v>11341073.040645413</v>
      </c>
      <c r="P162" s="187">
        <f t="shared" ref="P162:Z162" si="338">+O162+P326</f>
        <v>11341073.040645413</v>
      </c>
      <c r="Q162" s="187">
        <f t="shared" si="338"/>
        <v>11255834.906797567</v>
      </c>
      <c r="R162" s="187">
        <f t="shared" si="338"/>
        <v>11255834.906797567</v>
      </c>
      <c r="S162" s="187">
        <f t="shared" si="338"/>
        <v>11255834.906797567</v>
      </c>
      <c r="T162" s="187">
        <f t="shared" si="338"/>
        <v>11170596.772949722</v>
      </c>
      <c r="U162" s="187">
        <f t="shared" si="338"/>
        <v>11170596.772949722</v>
      </c>
      <c r="V162" s="187">
        <f t="shared" si="338"/>
        <v>11170596.772949722</v>
      </c>
      <c r="W162" s="187">
        <f t="shared" si="338"/>
        <v>11085358.639101876</v>
      </c>
      <c r="X162" s="187">
        <f t="shared" si="338"/>
        <v>11085358.639101876</v>
      </c>
      <c r="Y162" s="187">
        <f t="shared" si="338"/>
        <v>11085358.639101876</v>
      </c>
      <c r="Z162" s="187">
        <f t="shared" si="338"/>
        <v>11000120.50525403</v>
      </c>
      <c r="AA162" s="183">
        <f>+Z162</f>
        <v>11000120.50525403</v>
      </c>
      <c r="AB162" s="187">
        <f t="shared" ref="AB162:AM162" si="339">+AA162+AB326</f>
        <v>11000120.50525403</v>
      </c>
      <c r="AC162" s="187">
        <f t="shared" si="339"/>
        <v>11000120.50525403</v>
      </c>
      <c r="AD162" s="187">
        <f t="shared" si="339"/>
        <v>10920235.567608716</v>
      </c>
      <c r="AE162" s="187">
        <f t="shared" si="339"/>
        <v>10920235.567608716</v>
      </c>
      <c r="AF162" s="187">
        <f t="shared" si="339"/>
        <v>10920235.567608716</v>
      </c>
      <c r="AG162" s="187">
        <f t="shared" si="339"/>
        <v>10840350.629963402</v>
      </c>
      <c r="AH162" s="187">
        <f t="shared" si="339"/>
        <v>10840350.629963402</v>
      </c>
      <c r="AI162" s="187">
        <f t="shared" si="339"/>
        <v>10840350.629963402</v>
      </c>
      <c r="AJ162" s="187">
        <f t="shared" si="339"/>
        <v>10760465.692318087</v>
      </c>
      <c r="AK162" s="187">
        <f t="shared" si="339"/>
        <v>10760465.692318087</v>
      </c>
      <c r="AL162" s="187">
        <f t="shared" si="339"/>
        <v>10760465.692318087</v>
      </c>
      <c r="AM162" s="187">
        <f t="shared" si="339"/>
        <v>10680580.754672773</v>
      </c>
      <c r="AN162" s="183">
        <f>+AM162</f>
        <v>10680580.754672773</v>
      </c>
      <c r="AO162" s="155"/>
      <c r="AQ162" s="187">
        <f>+R162</f>
        <v>11255834.906797567</v>
      </c>
      <c r="AR162" s="187">
        <f t="shared" ref="AR162:BC164" si="340">($BD162-$AQ162)/12*AR$6</f>
        <v>-25667.985988188408</v>
      </c>
      <c r="AS162" s="187">
        <f t="shared" si="340"/>
        <v>-23292.73952360978</v>
      </c>
      <c r="AT162" s="187">
        <f t="shared" si="340"/>
        <v>-20994.113912727236</v>
      </c>
      <c r="AU162" s="187">
        <f t="shared" si="340"/>
        <v>-18618.867448148609</v>
      </c>
      <c r="AV162" s="187">
        <f t="shared" si="340"/>
        <v>-16320.241837266063</v>
      </c>
      <c r="AW162" s="187">
        <f t="shared" si="340"/>
        <v>-13944.995372687434</v>
      </c>
      <c r="AX162" s="187">
        <f t="shared" si="340"/>
        <v>-11569.748908108804</v>
      </c>
      <c r="AY162" s="187">
        <f t="shared" si="340"/>
        <v>-9424.3650046184302</v>
      </c>
      <c r="AZ162" s="187">
        <f t="shared" si="340"/>
        <v>-7049.1185400398017</v>
      </c>
      <c r="BA162" s="187">
        <f t="shared" si="340"/>
        <v>-4750.4929291572571</v>
      </c>
      <c r="BB162" s="187">
        <f t="shared" si="340"/>
        <v>-2375.2464645786285</v>
      </c>
      <c r="BC162" s="187">
        <f t="shared" si="340"/>
        <v>-76.620853696084794</v>
      </c>
      <c r="BD162" s="187">
        <f>+AE162</f>
        <v>10920235.567608716</v>
      </c>
      <c r="BE162" s="187">
        <f>SUM(AQ162:BC162)</f>
        <v>11101750.370014742</v>
      </c>
    </row>
    <row r="163" spans="1:57" x14ac:dyDescent="0.15">
      <c r="A163" s="189" t="s">
        <v>104</v>
      </c>
      <c r="G163" s="155">
        <v>446573020.04999995</v>
      </c>
      <c r="H163" s="187">
        <f t="shared" si="337"/>
        <v>446573020.04999995</v>
      </c>
      <c r="I163" s="187">
        <f t="shared" si="337"/>
        <v>446573020.04999995</v>
      </c>
      <c r="J163" s="187">
        <f t="shared" si="337"/>
        <v>444824768.27369243</v>
      </c>
      <c r="K163" s="187">
        <f t="shared" si="337"/>
        <v>444824768.27369243</v>
      </c>
      <c r="L163" s="187">
        <f t="shared" si="337"/>
        <v>444824768.27369243</v>
      </c>
      <c r="M163" s="187">
        <f t="shared" si="337"/>
        <v>442581469.54452789</v>
      </c>
      <c r="N163" s="184">
        <f>+M163</f>
        <v>442581469.54452789</v>
      </c>
      <c r="O163" s="187">
        <f>+N163+O327</f>
        <v>442581469.54452789</v>
      </c>
      <c r="P163" s="187">
        <f t="shared" ref="P163:Z163" si="341">+O163+P327</f>
        <v>442581469.54452789</v>
      </c>
      <c r="Q163" s="187">
        <f t="shared" si="341"/>
        <v>439609369.80010933</v>
      </c>
      <c r="R163" s="187">
        <f t="shared" si="341"/>
        <v>438706074.00506538</v>
      </c>
      <c r="S163" s="187">
        <f t="shared" si="341"/>
        <v>438706074.00506538</v>
      </c>
      <c r="T163" s="187">
        <f t="shared" si="341"/>
        <v>436622200.30586177</v>
      </c>
      <c r="U163" s="187">
        <f t="shared" si="341"/>
        <v>436622200.30586177</v>
      </c>
      <c r="V163" s="187">
        <f t="shared" si="341"/>
        <v>436622200.30586177</v>
      </c>
      <c r="W163" s="187">
        <f t="shared" si="341"/>
        <v>433627495.40014237</v>
      </c>
      <c r="X163" s="187">
        <f t="shared" si="341"/>
        <v>433627495.40014237</v>
      </c>
      <c r="Y163" s="187">
        <f t="shared" si="341"/>
        <v>433627495.40014237</v>
      </c>
      <c r="Z163" s="187">
        <f t="shared" si="341"/>
        <v>430632790.49442297</v>
      </c>
      <c r="AA163" s="184">
        <f>+Z163</f>
        <v>430632790.49442297</v>
      </c>
      <c r="AB163" s="187">
        <f t="shared" ref="AB163:AM163" si="342">+AA163+AB327</f>
        <v>430632790.49442297</v>
      </c>
      <c r="AC163" s="187">
        <f t="shared" si="342"/>
        <v>430632790.49442297</v>
      </c>
      <c r="AD163" s="187">
        <f t="shared" si="342"/>
        <v>427451162.30260491</v>
      </c>
      <c r="AE163" s="187">
        <f t="shared" si="342"/>
        <v>426482583.52326137</v>
      </c>
      <c r="AF163" s="187">
        <f t="shared" si="342"/>
        <v>426482583.52326137</v>
      </c>
      <c r="AG163" s="187">
        <f t="shared" si="342"/>
        <v>424269534.11078686</v>
      </c>
      <c r="AH163" s="187">
        <f t="shared" si="342"/>
        <v>424269534.11078686</v>
      </c>
      <c r="AI163" s="187">
        <f t="shared" si="342"/>
        <v>424269534.11078686</v>
      </c>
      <c r="AJ163" s="187">
        <f t="shared" si="342"/>
        <v>421087905.9189688</v>
      </c>
      <c r="AK163" s="187">
        <f t="shared" si="342"/>
        <v>421087905.9189688</v>
      </c>
      <c r="AL163" s="187">
        <f t="shared" si="342"/>
        <v>421087905.9189688</v>
      </c>
      <c r="AM163" s="187">
        <f t="shared" si="342"/>
        <v>417906277.72715074</v>
      </c>
      <c r="AN163" s="184">
        <f>+AM163</f>
        <v>417906277.72715074</v>
      </c>
      <c r="AO163" s="155"/>
      <c r="AQ163" s="187">
        <f>+R163</f>
        <v>438706074.00506538</v>
      </c>
      <c r="AR163" s="187">
        <f t="shared" si="340"/>
        <v>-934901.66927039833</v>
      </c>
      <c r="AS163" s="187">
        <f t="shared" si="340"/>
        <v>-848388.38047224202</v>
      </c>
      <c r="AT163" s="187">
        <f t="shared" si="340"/>
        <v>-764665.84292563924</v>
      </c>
      <c r="AU163" s="187">
        <f t="shared" si="340"/>
        <v>-678152.55412748293</v>
      </c>
      <c r="AV163" s="187">
        <f t="shared" si="340"/>
        <v>-594430.01658088015</v>
      </c>
      <c r="AW163" s="187">
        <f t="shared" si="340"/>
        <v>-507916.72778272384</v>
      </c>
      <c r="AX163" s="187">
        <f t="shared" si="340"/>
        <v>-421403.43898456759</v>
      </c>
      <c r="AY163" s="187">
        <f t="shared" si="340"/>
        <v>-343262.40394107159</v>
      </c>
      <c r="AZ163" s="187">
        <f t="shared" si="340"/>
        <v>-256749.11514291537</v>
      </c>
      <c r="BA163" s="187">
        <f t="shared" si="340"/>
        <v>-173026.57759631251</v>
      </c>
      <c r="BB163" s="187">
        <f t="shared" si="340"/>
        <v>-86513.288798156253</v>
      </c>
      <c r="BC163" s="187">
        <f t="shared" si="340"/>
        <v>-2790.7512515534277</v>
      </c>
      <c r="BD163" s="187">
        <f>+AE163</f>
        <v>426482583.52326137</v>
      </c>
      <c r="BE163" s="187">
        <f>SUM(AQ163:BC163)</f>
        <v>433093873.23819137</v>
      </c>
    </row>
    <row r="164" spans="1:57" s="190" customFormat="1" x14ac:dyDescent="0.15">
      <c r="A164" s="189" t="s">
        <v>275</v>
      </c>
      <c r="G164" s="156">
        <v>-7128841</v>
      </c>
      <c r="H164" s="156">
        <f t="shared" si="337"/>
        <v>-7128841</v>
      </c>
      <c r="I164" s="156">
        <f t="shared" si="337"/>
        <v>-7128841</v>
      </c>
      <c r="J164" s="156">
        <f t="shared" si="337"/>
        <v>-7080329.6621559095</v>
      </c>
      <c r="K164" s="156">
        <f t="shared" si="337"/>
        <v>-7080329.6621559095</v>
      </c>
      <c r="L164" s="156">
        <f t="shared" si="337"/>
        <v>-7080329.6621559095</v>
      </c>
      <c r="M164" s="156">
        <f t="shared" si="337"/>
        <v>-7031818.3242856311</v>
      </c>
      <c r="N164" s="191">
        <f>+M164</f>
        <v>-7031818.3242856311</v>
      </c>
      <c r="O164" s="156">
        <f>+N164+O328</f>
        <v>-7031818.3242856311</v>
      </c>
      <c r="P164" s="156">
        <f t="shared" ref="P164:Z164" si="343">+O164+P328</f>
        <v>-7031818.3242856311</v>
      </c>
      <c r="Q164" s="156">
        <f t="shared" si="343"/>
        <v>-6983306.9864153527</v>
      </c>
      <c r="R164" s="156">
        <f t="shared" si="343"/>
        <v>-6983306.9864153527</v>
      </c>
      <c r="S164" s="156">
        <f t="shared" si="343"/>
        <v>-6983306.9864153527</v>
      </c>
      <c r="T164" s="156">
        <f t="shared" si="343"/>
        <v>-6934795.6485450743</v>
      </c>
      <c r="U164" s="156">
        <f t="shared" si="343"/>
        <v>-6934795.6485450743</v>
      </c>
      <c r="V164" s="156">
        <f t="shared" si="343"/>
        <v>-6934795.6485450743</v>
      </c>
      <c r="W164" s="156">
        <f t="shared" si="343"/>
        <v>-6886284.3106747959</v>
      </c>
      <c r="X164" s="156">
        <f t="shared" si="343"/>
        <v>-6886284.3106747959</v>
      </c>
      <c r="Y164" s="156">
        <f t="shared" si="343"/>
        <v>-6886284.3106747959</v>
      </c>
      <c r="Z164" s="156">
        <f t="shared" si="343"/>
        <v>-6837772.9728045175</v>
      </c>
      <c r="AA164" s="191">
        <f>+Z164</f>
        <v>-6837772.9728045175</v>
      </c>
      <c r="AB164" s="156">
        <f t="shared" ref="AB164:AM164" si="344">+AA164+AB328</f>
        <v>-6837772.9728045175</v>
      </c>
      <c r="AC164" s="156">
        <f t="shared" si="344"/>
        <v>-6837772.9728045175</v>
      </c>
      <c r="AD164" s="156">
        <f t="shared" si="344"/>
        <v>-6789261.6349342391</v>
      </c>
      <c r="AE164" s="156">
        <f t="shared" si="344"/>
        <v>-6789261.6349342391</v>
      </c>
      <c r="AF164" s="156">
        <f t="shared" si="344"/>
        <v>-6789261.6349342391</v>
      </c>
      <c r="AG164" s="156">
        <f t="shared" si="344"/>
        <v>-6740750.2970639607</v>
      </c>
      <c r="AH164" s="156">
        <f t="shared" si="344"/>
        <v>-6740750.2970639607</v>
      </c>
      <c r="AI164" s="156">
        <f t="shared" si="344"/>
        <v>-6740750.2970639607</v>
      </c>
      <c r="AJ164" s="156">
        <f t="shared" si="344"/>
        <v>-6692238.9591936823</v>
      </c>
      <c r="AK164" s="156">
        <f t="shared" si="344"/>
        <v>-6692238.9591936823</v>
      </c>
      <c r="AL164" s="156">
        <f t="shared" si="344"/>
        <v>-6692238.9591936823</v>
      </c>
      <c r="AM164" s="156">
        <f t="shared" si="344"/>
        <v>-6643727.6213234039</v>
      </c>
      <c r="AN164" s="191">
        <f>+AM164</f>
        <v>-6643727.6213234039</v>
      </c>
      <c r="AO164" s="187"/>
      <c r="AQ164" s="156">
        <f>+R164</f>
        <v>-6983306.9864153527</v>
      </c>
      <c r="AR164" s="156">
        <f t="shared" si="340"/>
        <v>14841.368206888825</v>
      </c>
      <c r="AS164" s="156">
        <f t="shared" si="340"/>
        <v>13467.98786535583</v>
      </c>
      <c r="AT164" s="156">
        <f t="shared" si="340"/>
        <v>12138.910115485189</v>
      </c>
      <c r="AU164" s="156">
        <f t="shared" si="340"/>
        <v>10765.529773952194</v>
      </c>
      <c r="AV164" s="156">
        <f t="shared" si="340"/>
        <v>9436.4520240815527</v>
      </c>
      <c r="AW164" s="156">
        <f t="shared" si="340"/>
        <v>8063.0716825485561</v>
      </c>
      <c r="AX164" s="156">
        <f t="shared" si="340"/>
        <v>6689.6913410155603</v>
      </c>
      <c r="AY164" s="156">
        <f t="shared" si="340"/>
        <v>5449.2187744696284</v>
      </c>
      <c r="AZ164" s="156">
        <f t="shared" si="340"/>
        <v>4075.8384329366327</v>
      </c>
      <c r="BA164" s="156">
        <f t="shared" si="340"/>
        <v>2746.7606830659915</v>
      </c>
      <c r="BB164" s="156">
        <f t="shared" si="340"/>
        <v>1373.3803415329958</v>
      </c>
      <c r="BC164" s="156">
        <f t="shared" si="340"/>
        <v>44.3025916623547</v>
      </c>
      <c r="BD164" s="156">
        <f>+AE164</f>
        <v>-6789261.6349342391</v>
      </c>
      <c r="BE164" s="156">
        <f>SUM(AQ164:BC164)</f>
        <v>-6894214.4745823583</v>
      </c>
    </row>
    <row r="165" spans="1:57" x14ac:dyDescent="0.15">
      <c r="A165" s="189"/>
      <c r="G165" s="155">
        <f>SUM(G162:G164)</f>
        <v>450968510.86999995</v>
      </c>
      <c r="H165" s="155">
        <f>SUM(H162:H164)</f>
        <v>450968510.86999995</v>
      </c>
      <c r="I165" s="155">
        <f>SUM(I162:I164)</f>
        <v>450968510.86999995</v>
      </c>
      <c r="J165" s="155">
        <f>SUM(J162:J164)</f>
        <v>449177141.04185921</v>
      </c>
      <c r="K165" s="155">
        <f t="shared" ref="K165:AN165" si="345">SUM(K162:K164)</f>
        <v>449177141.04185921</v>
      </c>
      <c r="L165" s="155">
        <f t="shared" si="345"/>
        <v>449177141.04185921</v>
      </c>
      <c r="M165" s="155">
        <f t="shared" si="345"/>
        <v>446890724.26088768</v>
      </c>
      <c r="N165" s="155">
        <f t="shared" si="345"/>
        <v>446890724.26088768</v>
      </c>
      <c r="O165" s="155">
        <f t="shared" si="345"/>
        <v>446890724.26088768</v>
      </c>
      <c r="P165" s="155">
        <f t="shared" si="345"/>
        <v>446890724.26088768</v>
      </c>
      <c r="Q165" s="155">
        <f t="shared" si="345"/>
        <v>443881897.72049159</v>
      </c>
      <c r="R165" s="155">
        <f t="shared" si="345"/>
        <v>442978601.92544764</v>
      </c>
      <c r="S165" s="155">
        <f t="shared" si="345"/>
        <v>442978601.92544764</v>
      </c>
      <c r="T165" s="155">
        <f t="shared" si="345"/>
        <v>440858001.43026638</v>
      </c>
      <c r="U165" s="155">
        <f t="shared" si="345"/>
        <v>440858001.43026638</v>
      </c>
      <c r="V165" s="155">
        <f t="shared" si="345"/>
        <v>440858001.43026638</v>
      </c>
      <c r="W165" s="155">
        <f t="shared" si="345"/>
        <v>437826569.72856945</v>
      </c>
      <c r="X165" s="155">
        <f t="shared" si="345"/>
        <v>437826569.72856945</v>
      </c>
      <c r="Y165" s="155">
        <f t="shared" si="345"/>
        <v>437826569.72856945</v>
      </c>
      <c r="Z165" s="155">
        <f t="shared" si="345"/>
        <v>434795138.02687246</v>
      </c>
      <c r="AA165" s="155">
        <f t="shared" si="345"/>
        <v>434795138.02687246</v>
      </c>
      <c r="AB165" s="155">
        <f t="shared" si="345"/>
        <v>434795138.02687246</v>
      </c>
      <c r="AC165" s="155">
        <f t="shared" si="345"/>
        <v>434795138.02687246</v>
      </c>
      <c r="AD165" s="155">
        <f t="shared" si="345"/>
        <v>431582136.23527938</v>
      </c>
      <c r="AE165" s="155">
        <f t="shared" si="345"/>
        <v>430613557.45593584</v>
      </c>
      <c r="AF165" s="155">
        <f t="shared" si="345"/>
        <v>430613557.45593584</v>
      </c>
      <c r="AG165" s="155">
        <f t="shared" si="345"/>
        <v>428369134.44368631</v>
      </c>
      <c r="AH165" s="155">
        <f t="shared" si="345"/>
        <v>428369134.44368631</v>
      </c>
      <c r="AI165" s="155">
        <f t="shared" si="345"/>
        <v>428369134.44368631</v>
      </c>
      <c r="AJ165" s="155">
        <f t="shared" si="345"/>
        <v>425156132.65209317</v>
      </c>
      <c r="AK165" s="155">
        <f t="shared" si="345"/>
        <v>425156132.65209317</v>
      </c>
      <c r="AL165" s="155">
        <f t="shared" si="345"/>
        <v>425156132.65209317</v>
      </c>
      <c r="AM165" s="155">
        <f t="shared" si="345"/>
        <v>421943130.8605001</v>
      </c>
      <c r="AN165" s="155">
        <f t="shared" si="345"/>
        <v>421943130.8605001</v>
      </c>
      <c r="AO165" s="155"/>
      <c r="AQ165" s="155">
        <f>SUM(AQ162:AQ164)</f>
        <v>442978601.92544764</v>
      </c>
      <c r="AR165" s="155">
        <f t="shared" ref="AR165:BE165" si="346">SUM(AR162:AR164)</f>
        <v>-945728.28705169796</v>
      </c>
      <c r="AS165" s="155">
        <f t="shared" si="346"/>
        <v>-858213.13213049597</v>
      </c>
      <c r="AT165" s="155">
        <f t="shared" si="346"/>
        <v>-773521.04672288126</v>
      </c>
      <c r="AU165" s="155">
        <f t="shared" si="346"/>
        <v>-686005.89180167927</v>
      </c>
      <c r="AV165" s="155">
        <f t="shared" si="346"/>
        <v>-601313.80639406457</v>
      </c>
      <c r="AW165" s="155">
        <f t="shared" si="346"/>
        <v>-513798.65147286269</v>
      </c>
      <c r="AX165" s="155">
        <f t="shared" si="346"/>
        <v>-426283.49655166082</v>
      </c>
      <c r="AY165" s="155">
        <f t="shared" si="346"/>
        <v>-347237.55017122038</v>
      </c>
      <c r="AZ165" s="155">
        <f t="shared" si="346"/>
        <v>-259722.39525001851</v>
      </c>
      <c r="BA165" s="155">
        <f t="shared" si="346"/>
        <v>-175030.30984240377</v>
      </c>
      <c r="BB165" s="155">
        <f t="shared" si="346"/>
        <v>-87515.154921201887</v>
      </c>
      <c r="BC165" s="155">
        <f t="shared" si="346"/>
        <v>-2823.0695135871579</v>
      </c>
      <c r="BD165" s="155"/>
      <c r="BE165" s="155">
        <f t="shared" si="346"/>
        <v>437301409.13362372</v>
      </c>
    </row>
    <row r="166" spans="1:57" ht="9" thickBot="1" x14ac:dyDescent="0.2">
      <c r="A166" s="192" t="s">
        <v>112</v>
      </c>
      <c r="G166" s="155"/>
      <c r="H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</row>
    <row r="167" spans="1:57" x14ac:dyDescent="0.15">
      <c r="A167" s="39" t="s">
        <v>97</v>
      </c>
      <c r="G167" s="155">
        <v>7571.83</v>
      </c>
      <c r="H167" s="155">
        <f t="shared" ref="H167:M168" si="347">+G167+H368</f>
        <v>7571.83</v>
      </c>
      <c r="I167" s="155">
        <f t="shared" si="347"/>
        <v>7571.83</v>
      </c>
      <c r="J167" s="155">
        <f t="shared" si="347"/>
        <v>5475.7640439706893</v>
      </c>
      <c r="K167" s="155">
        <f t="shared" si="347"/>
        <v>5475.7640439706893</v>
      </c>
      <c r="L167" s="155">
        <f t="shared" si="347"/>
        <v>5475.7640439706893</v>
      </c>
      <c r="M167" s="155">
        <f t="shared" si="347"/>
        <v>3379.6980879413786</v>
      </c>
      <c r="N167" s="183">
        <f>+M167</f>
        <v>3379.6980879413786</v>
      </c>
      <c r="O167" s="155">
        <f>+N167+O368</f>
        <v>3379.6980879413786</v>
      </c>
      <c r="P167" s="155">
        <f t="shared" ref="P167:Z167" si="348">+O167+P368</f>
        <v>3379.6980879413786</v>
      </c>
      <c r="Q167" s="155">
        <f t="shared" si="348"/>
        <v>2837.8126782145296</v>
      </c>
      <c r="R167" s="155">
        <f t="shared" si="348"/>
        <v>2837.8126782145296</v>
      </c>
      <c r="S167" s="155">
        <f t="shared" si="348"/>
        <v>2837.8126782145296</v>
      </c>
      <c r="T167" s="155">
        <f t="shared" si="348"/>
        <v>2295.9272684876805</v>
      </c>
      <c r="U167" s="155">
        <f t="shared" si="348"/>
        <v>2295.9272684876805</v>
      </c>
      <c r="V167" s="155">
        <f t="shared" si="348"/>
        <v>2295.9272684876805</v>
      </c>
      <c r="W167" s="155">
        <f t="shared" si="348"/>
        <v>1754.0418587608315</v>
      </c>
      <c r="X167" s="155">
        <f t="shared" si="348"/>
        <v>1754.0418587608315</v>
      </c>
      <c r="Y167" s="155">
        <f t="shared" si="348"/>
        <v>1754.0418587608315</v>
      </c>
      <c r="Z167" s="155">
        <f t="shared" si="348"/>
        <v>1212.1564490339824</v>
      </c>
      <c r="AA167" s="183">
        <f>+Z167</f>
        <v>1212.1564490339824</v>
      </c>
      <c r="AB167" s="155">
        <f t="shared" ref="AB167:AM167" si="349">+AA167+AB368</f>
        <v>1212.1564490339824</v>
      </c>
      <c r="AC167" s="155">
        <f t="shared" si="349"/>
        <v>1212.1564490339824</v>
      </c>
      <c r="AD167" s="155">
        <f t="shared" si="349"/>
        <v>1135.6940906062682</v>
      </c>
      <c r="AE167" s="155">
        <f t="shared" si="349"/>
        <v>1135.6940906062682</v>
      </c>
      <c r="AF167" s="155">
        <f t="shared" si="349"/>
        <v>1135.6940906062682</v>
      </c>
      <c r="AG167" s="155">
        <f t="shared" si="349"/>
        <v>1059.231732178554</v>
      </c>
      <c r="AH167" s="155">
        <f t="shared" si="349"/>
        <v>1059.231732178554</v>
      </c>
      <c r="AI167" s="155">
        <f t="shared" si="349"/>
        <v>1059.231732178554</v>
      </c>
      <c r="AJ167" s="155">
        <f t="shared" si="349"/>
        <v>982.7693737508398</v>
      </c>
      <c r="AK167" s="155">
        <f t="shared" si="349"/>
        <v>982.7693737508398</v>
      </c>
      <c r="AL167" s="155">
        <f t="shared" si="349"/>
        <v>982.7693737508398</v>
      </c>
      <c r="AM167" s="155">
        <f t="shared" si="349"/>
        <v>906.3070153231256</v>
      </c>
      <c r="AN167" s="183">
        <f>+AM167</f>
        <v>906.3070153231256</v>
      </c>
      <c r="AO167" s="155"/>
      <c r="AQ167" s="155">
        <f>+R167</f>
        <v>2837.8126782145296</v>
      </c>
      <c r="AR167" s="155">
        <f t="shared" ref="AR167:BC168" si="350">($BD167-$AQ167)/12*AR$6</f>
        <v>-130.18486914355424</v>
      </c>
      <c r="AS167" s="155">
        <f t="shared" si="350"/>
        <v>-118.13791110340445</v>
      </c>
      <c r="AT167" s="155">
        <f t="shared" si="350"/>
        <v>-106.47956461293691</v>
      </c>
      <c r="AU167" s="155">
        <f t="shared" si="350"/>
        <v>-94.432606572787108</v>
      </c>
      <c r="AV167" s="155">
        <f t="shared" si="350"/>
        <v>-82.774260082319572</v>
      </c>
      <c r="AW167" s="155">
        <f t="shared" si="350"/>
        <v>-70.727302042169768</v>
      </c>
      <c r="AX167" s="155">
        <f t="shared" si="350"/>
        <v>-58.680344002019979</v>
      </c>
      <c r="AY167" s="155">
        <f t="shared" si="350"/>
        <v>-47.799220610916933</v>
      </c>
      <c r="AZ167" s="155">
        <f t="shared" si="350"/>
        <v>-35.752262570767137</v>
      </c>
      <c r="BA167" s="155">
        <f t="shared" si="350"/>
        <v>-24.093916080299589</v>
      </c>
      <c r="BB167" s="155">
        <f t="shared" si="350"/>
        <v>-12.046958040149795</v>
      </c>
      <c r="BC167" s="155">
        <f t="shared" si="350"/>
        <v>-0.38861154968225148</v>
      </c>
      <c r="BD167" s="155">
        <f>+AE167</f>
        <v>1135.6940906062682</v>
      </c>
      <c r="BE167" s="155">
        <f>SUM(AQ167:BC167)</f>
        <v>2056.3148518035218</v>
      </c>
    </row>
    <row r="168" spans="1:57" ht="9" thickBot="1" x14ac:dyDescent="0.2">
      <c r="A168" s="39" t="s">
        <v>104</v>
      </c>
      <c r="G168" s="156">
        <v>110489479.73999998</v>
      </c>
      <c r="H168" s="156">
        <f t="shared" si="347"/>
        <v>110489479.73999998</v>
      </c>
      <c r="I168" s="156">
        <f t="shared" si="347"/>
        <v>110489479.73999998</v>
      </c>
      <c r="J168" s="156">
        <f t="shared" si="347"/>
        <v>110074007.94738533</v>
      </c>
      <c r="K168" s="156">
        <f t="shared" si="347"/>
        <v>110074007.94738533</v>
      </c>
      <c r="L168" s="156">
        <f t="shared" si="347"/>
        <v>110074007.94738533</v>
      </c>
      <c r="M168" s="156">
        <f t="shared" si="347"/>
        <v>109540888.3149576</v>
      </c>
      <c r="N168" s="185">
        <f>+M168</f>
        <v>109540888.3149576</v>
      </c>
      <c r="O168" s="156">
        <f>+N168+O369</f>
        <v>109540888.3149576</v>
      </c>
      <c r="P168" s="156">
        <f t="shared" ref="P168:Z168" si="351">+O168+P369</f>
        <v>109540888.3149576</v>
      </c>
      <c r="Q168" s="156">
        <f t="shared" si="351"/>
        <v>108822646.73109505</v>
      </c>
      <c r="R168" s="156">
        <f t="shared" si="351"/>
        <v>108604355.06583478</v>
      </c>
      <c r="S168" s="156">
        <f t="shared" si="351"/>
        <v>108604355.06583478</v>
      </c>
      <c r="T168" s="156">
        <f t="shared" si="351"/>
        <v>108100763.3714119</v>
      </c>
      <c r="U168" s="156">
        <f t="shared" si="351"/>
        <v>108100763.3714119</v>
      </c>
      <c r="V168" s="156">
        <f t="shared" si="351"/>
        <v>108100763.3714119</v>
      </c>
      <c r="W168" s="156">
        <f t="shared" si="351"/>
        <v>107377058.99415331</v>
      </c>
      <c r="X168" s="156">
        <f t="shared" si="351"/>
        <v>107377058.99415331</v>
      </c>
      <c r="Y168" s="156">
        <f t="shared" si="351"/>
        <v>107377058.99415331</v>
      </c>
      <c r="Z168" s="156">
        <f t="shared" si="351"/>
        <v>106653354.61689471</v>
      </c>
      <c r="AA168" s="185">
        <f>+Z168</f>
        <v>106653354.61689471</v>
      </c>
      <c r="AB168" s="156">
        <f t="shared" ref="AB168:AM168" si="352">+AA168+AB369</f>
        <v>106653354.61689471</v>
      </c>
      <c r="AC168" s="156">
        <f t="shared" si="352"/>
        <v>106653354.61689471</v>
      </c>
      <c r="AD168" s="156">
        <f t="shared" si="352"/>
        <v>105882310.87298906</v>
      </c>
      <c r="AE168" s="156">
        <f t="shared" si="352"/>
        <v>105647583.06594576</v>
      </c>
      <c r="AF168" s="156">
        <f t="shared" si="352"/>
        <v>105647583.06594576</v>
      </c>
      <c r="AG168" s="156">
        <f t="shared" si="352"/>
        <v>105111267.12908342</v>
      </c>
      <c r="AH168" s="156">
        <f t="shared" si="352"/>
        <v>105111267.12908342</v>
      </c>
      <c r="AI168" s="156">
        <f t="shared" si="352"/>
        <v>105111267.12908342</v>
      </c>
      <c r="AJ168" s="156">
        <f t="shared" si="352"/>
        <v>104340223.38517778</v>
      </c>
      <c r="AK168" s="156">
        <f t="shared" si="352"/>
        <v>104340223.38517778</v>
      </c>
      <c r="AL168" s="156">
        <f t="shared" si="352"/>
        <v>104340223.38517778</v>
      </c>
      <c r="AM168" s="156">
        <f t="shared" si="352"/>
        <v>103569179.64127213</v>
      </c>
      <c r="AN168" s="185">
        <f>+AM168</f>
        <v>103569179.64127213</v>
      </c>
      <c r="AO168" s="155"/>
      <c r="AQ168" s="156">
        <f>+R168</f>
        <v>108604355.06583478</v>
      </c>
      <c r="AR168" s="156">
        <f t="shared" si="350"/>
        <v>-226145.80364447954</v>
      </c>
      <c r="AS168" s="156">
        <f t="shared" si="350"/>
        <v>-205218.8785311098</v>
      </c>
      <c r="AT168" s="156">
        <f t="shared" si="350"/>
        <v>-184967.01551817133</v>
      </c>
      <c r="AU168" s="156">
        <f t="shared" si="350"/>
        <v>-164040.09040480159</v>
      </c>
      <c r="AV168" s="156">
        <f t="shared" si="350"/>
        <v>-143788.22739186313</v>
      </c>
      <c r="AW168" s="156">
        <f t="shared" si="350"/>
        <v>-122861.30227849337</v>
      </c>
      <c r="AX168" s="156">
        <f t="shared" si="350"/>
        <v>-101934.37716512362</v>
      </c>
      <c r="AY168" s="156">
        <f t="shared" si="350"/>
        <v>-83032.638353047718</v>
      </c>
      <c r="AZ168" s="156">
        <f t="shared" si="350"/>
        <v>-62105.713239677971</v>
      </c>
      <c r="BA168" s="156">
        <f t="shared" si="350"/>
        <v>-41853.850226739494</v>
      </c>
      <c r="BB168" s="156">
        <f t="shared" si="350"/>
        <v>-20926.925113369747</v>
      </c>
      <c r="BC168" s="156">
        <f t="shared" si="350"/>
        <v>-675.06210043128226</v>
      </c>
      <c r="BD168" s="156">
        <f>+AE168</f>
        <v>105647583.06594576</v>
      </c>
      <c r="BE168" s="156">
        <f>SUM(AQ168:BC168)</f>
        <v>107246805.18186745</v>
      </c>
    </row>
    <row r="169" spans="1:57" x14ac:dyDescent="0.15">
      <c r="G169" s="155">
        <f>SUM(G167:G168)</f>
        <v>110497051.56999998</v>
      </c>
      <c r="H169" s="155">
        <f>SUM(H167:H168)</f>
        <v>110497051.56999998</v>
      </c>
      <c r="I169" s="155">
        <f>SUM(I167:I168)</f>
        <v>110497051.56999998</v>
      </c>
      <c r="J169" s="155">
        <f>SUM(J167:J168)</f>
        <v>110079483.7114293</v>
      </c>
      <c r="K169" s="155">
        <f t="shared" ref="K169:AD169" si="353">SUM(K167:K168)</f>
        <v>110079483.7114293</v>
      </c>
      <c r="L169" s="155">
        <f t="shared" si="353"/>
        <v>110079483.7114293</v>
      </c>
      <c r="M169" s="155">
        <f t="shared" si="353"/>
        <v>109544268.01304555</v>
      </c>
      <c r="N169" s="155">
        <f t="shared" si="353"/>
        <v>109544268.01304555</v>
      </c>
      <c r="O169" s="155">
        <f t="shared" si="353"/>
        <v>109544268.01304555</v>
      </c>
      <c r="P169" s="155">
        <f t="shared" si="353"/>
        <v>109544268.01304555</v>
      </c>
      <c r="Q169" s="155">
        <f t="shared" si="353"/>
        <v>108825484.54377326</v>
      </c>
      <c r="R169" s="155">
        <f t="shared" si="353"/>
        <v>108607192.87851299</v>
      </c>
      <c r="S169" s="155">
        <f t="shared" si="353"/>
        <v>108607192.87851299</v>
      </c>
      <c r="T169" s="155">
        <f t="shared" si="353"/>
        <v>108103059.29868039</v>
      </c>
      <c r="U169" s="155">
        <f t="shared" si="353"/>
        <v>108103059.29868039</v>
      </c>
      <c r="V169" s="155">
        <f t="shared" si="353"/>
        <v>108103059.29868039</v>
      </c>
      <c r="W169" s="155">
        <f t="shared" si="353"/>
        <v>107378813.03601207</v>
      </c>
      <c r="X169" s="155">
        <f t="shared" si="353"/>
        <v>107378813.03601207</v>
      </c>
      <c r="Y169" s="155">
        <f t="shared" si="353"/>
        <v>107378813.03601207</v>
      </c>
      <c r="Z169" s="155">
        <f t="shared" si="353"/>
        <v>106654566.77334374</v>
      </c>
      <c r="AA169" s="155">
        <f t="shared" si="353"/>
        <v>106654566.77334374</v>
      </c>
      <c r="AB169" s="155">
        <f t="shared" si="353"/>
        <v>106654566.77334374</v>
      </c>
      <c r="AC169" s="155">
        <f t="shared" si="353"/>
        <v>106654566.77334374</v>
      </c>
      <c r="AD169" s="155">
        <f t="shared" si="353"/>
        <v>105883446.56707966</v>
      </c>
      <c r="AE169" s="155">
        <f t="shared" ref="AE169:AN169" si="354">SUM(AE167:AE168)</f>
        <v>105648718.76003636</v>
      </c>
      <c r="AF169" s="155">
        <f t="shared" si="354"/>
        <v>105648718.76003636</v>
      </c>
      <c r="AG169" s="155">
        <f t="shared" si="354"/>
        <v>105112326.3608156</v>
      </c>
      <c r="AH169" s="155">
        <f t="shared" si="354"/>
        <v>105112326.3608156</v>
      </c>
      <c r="AI169" s="155">
        <f t="shared" si="354"/>
        <v>105112326.3608156</v>
      </c>
      <c r="AJ169" s="155">
        <f t="shared" si="354"/>
        <v>104341206.15455152</v>
      </c>
      <c r="AK169" s="155">
        <f t="shared" si="354"/>
        <v>104341206.15455152</v>
      </c>
      <c r="AL169" s="155">
        <f t="shared" si="354"/>
        <v>104341206.15455152</v>
      </c>
      <c r="AM169" s="155">
        <f t="shared" si="354"/>
        <v>103570085.94828746</v>
      </c>
      <c r="AN169" s="155">
        <f t="shared" si="354"/>
        <v>103570085.94828746</v>
      </c>
      <c r="AO169" s="155"/>
      <c r="AQ169" s="155">
        <f>SUM(AQ167:AQ168)</f>
        <v>108607192.87851299</v>
      </c>
      <c r="AR169" s="155">
        <f t="shared" ref="AR169:BE169" si="355">SUM(AR167:AR168)</f>
        <v>-226275.9885136231</v>
      </c>
      <c r="AS169" s="155">
        <f t="shared" si="355"/>
        <v>-205337.01644221321</v>
      </c>
      <c r="AT169" s="155">
        <f t="shared" si="355"/>
        <v>-185073.49508278427</v>
      </c>
      <c r="AU169" s="155">
        <f t="shared" si="355"/>
        <v>-164134.52301137437</v>
      </c>
      <c r="AV169" s="155">
        <f t="shared" si="355"/>
        <v>-143871.00165194544</v>
      </c>
      <c r="AW169" s="155">
        <f t="shared" si="355"/>
        <v>-122932.02958053554</v>
      </c>
      <c r="AX169" s="155">
        <f t="shared" si="355"/>
        <v>-101993.05750912563</v>
      </c>
      <c r="AY169" s="155">
        <f t="shared" si="355"/>
        <v>-83080.437573658637</v>
      </c>
      <c r="AZ169" s="155">
        <f t="shared" si="355"/>
        <v>-62141.465502248735</v>
      </c>
      <c r="BA169" s="155">
        <f t="shared" si="355"/>
        <v>-41877.944142819797</v>
      </c>
      <c r="BB169" s="155">
        <f t="shared" si="355"/>
        <v>-20938.972071409898</v>
      </c>
      <c r="BC169" s="155">
        <f t="shared" si="355"/>
        <v>-675.45071198096446</v>
      </c>
      <c r="BD169" s="155"/>
      <c r="BE169" s="155">
        <f t="shared" si="355"/>
        <v>107248861.49671926</v>
      </c>
    </row>
    <row r="170" spans="1:57" x14ac:dyDescent="0.15">
      <c r="G170" s="155"/>
      <c r="H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</row>
    <row r="171" spans="1:57" ht="9" thickBot="1" x14ac:dyDescent="0.2">
      <c r="A171" s="39" t="s">
        <v>95</v>
      </c>
      <c r="G171" s="186">
        <f>SUM(G100,G153,G156,G159,G165,G169)</f>
        <v>-581202927.05000019</v>
      </c>
      <c r="H171" s="186">
        <f>SUM(H100,H153,H156,H159,H165,H169)</f>
        <v>-581214112.64913511</v>
      </c>
      <c r="I171" s="186">
        <f>SUM(I100,I153,I156,I159,I165,I169)</f>
        <v>-581225298.2482698</v>
      </c>
      <c r="J171" s="186">
        <f>SUM(J100,J153,J156,J159,J165,J169)</f>
        <v>-609235315.38864779</v>
      </c>
      <c r="K171" s="186">
        <f t="shared" ref="K171:AN171" si="356">SUM(K100,K153,K156,K159,K165,K169)</f>
        <v>-609246500.98778272</v>
      </c>
      <c r="L171" s="186">
        <f t="shared" si="356"/>
        <v>-609257686.58691764</v>
      </c>
      <c r="M171" s="186">
        <f t="shared" si="356"/>
        <v>-627000003.91785884</v>
      </c>
      <c r="N171" s="186">
        <f t="shared" si="356"/>
        <v>-627000003.91785884</v>
      </c>
      <c r="O171" s="186">
        <f t="shared" si="356"/>
        <v>-627011189.51699352</v>
      </c>
      <c r="P171" s="186">
        <f t="shared" si="356"/>
        <v>-627022375.11612844</v>
      </c>
      <c r="Q171" s="186">
        <f t="shared" si="356"/>
        <v>-642416943.25401771</v>
      </c>
      <c r="R171" s="186">
        <f t="shared" si="356"/>
        <v>-642707964.92449868</v>
      </c>
      <c r="S171" s="186">
        <f t="shared" si="356"/>
        <v>-642719150.52363336</v>
      </c>
      <c r="T171" s="186">
        <f t="shared" si="356"/>
        <v>-659626159.00388968</v>
      </c>
      <c r="U171" s="186">
        <f t="shared" si="356"/>
        <v>-659637344.60302436</v>
      </c>
      <c r="V171" s="186">
        <f t="shared" si="356"/>
        <v>-659648530.20215929</v>
      </c>
      <c r="W171" s="186">
        <f t="shared" si="356"/>
        <v>-675759036.20852244</v>
      </c>
      <c r="X171" s="186">
        <f t="shared" si="356"/>
        <v>-675770221.80765712</v>
      </c>
      <c r="Y171" s="186">
        <f t="shared" si="356"/>
        <v>-675781407.40679204</v>
      </c>
      <c r="Z171" s="186">
        <f t="shared" si="356"/>
        <v>-692482380.48193026</v>
      </c>
      <c r="AA171" s="186">
        <f t="shared" si="356"/>
        <v>-692482380.48193026</v>
      </c>
      <c r="AB171" s="186">
        <f t="shared" si="356"/>
        <v>-692493566.08106518</v>
      </c>
      <c r="AC171" s="186">
        <f t="shared" si="356"/>
        <v>-692504751.6802001</v>
      </c>
      <c r="AD171" s="186">
        <f t="shared" si="356"/>
        <v>-697998058.10740769</v>
      </c>
      <c r="AE171" s="186">
        <f t="shared" si="356"/>
        <v>-698621038.82694697</v>
      </c>
      <c r="AF171" s="186">
        <f t="shared" si="356"/>
        <v>-698320654.29898071</v>
      </c>
      <c r="AG171" s="186">
        <f t="shared" si="356"/>
        <v>-705771281.79314935</v>
      </c>
      <c r="AH171" s="186">
        <f t="shared" si="356"/>
        <v>-705782467.39228427</v>
      </c>
      <c r="AI171" s="186">
        <f t="shared" si="356"/>
        <v>-705793652.9914192</v>
      </c>
      <c r="AJ171" s="186">
        <f t="shared" si="356"/>
        <v>-712107404.60583711</v>
      </c>
      <c r="AK171" s="186">
        <f t="shared" si="356"/>
        <v>-712118590.20497179</v>
      </c>
      <c r="AL171" s="186">
        <f t="shared" si="356"/>
        <v>-712129775.80410671</v>
      </c>
      <c r="AM171" s="186">
        <f t="shared" si="356"/>
        <v>-719587316.2766571</v>
      </c>
      <c r="AN171" s="186">
        <f t="shared" si="356"/>
        <v>-719587316.2766571</v>
      </c>
      <c r="AO171" s="187"/>
      <c r="AQ171" s="186">
        <f>SUM(AQ169,AQ165,AQ159,AQ156,AQ153,AQ100)</f>
        <v>-642707964.92449856</v>
      </c>
      <c r="AR171" s="186">
        <f t="shared" ref="AR171:BE171" si="357">SUM(AR169,AR165,AR159,AR156,AR153,AR100)</f>
        <v>-4276456.5655981964</v>
      </c>
      <c r="AS171" s="186">
        <f t="shared" si="357"/>
        <v>-3880724.7640055288</v>
      </c>
      <c r="AT171" s="186">
        <f t="shared" si="357"/>
        <v>-3497758.5043997196</v>
      </c>
      <c r="AU171" s="186">
        <f t="shared" si="357"/>
        <v>-3102026.7028070507</v>
      </c>
      <c r="AV171" s="186">
        <f t="shared" si="357"/>
        <v>-2719060.4432012415</v>
      </c>
      <c r="AW171" s="186">
        <f t="shared" si="357"/>
        <v>-2323328.641608573</v>
      </c>
      <c r="AX171" s="186">
        <f t="shared" si="357"/>
        <v>-1927596.8400159043</v>
      </c>
      <c r="AY171" s="186">
        <f t="shared" si="357"/>
        <v>-1570161.6643838161</v>
      </c>
      <c r="AZ171" s="186">
        <f t="shared" si="357"/>
        <v>-1174429.8627911466</v>
      </c>
      <c r="BA171" s="186">
        <f t="shared" si="357"/>
        <v>-791463.60318533797</v>
      </c>
      <c r="BB171" s="186">
        <f t="shared" si="357"/>
        <v>-395731.80159266898</v>
      </c>
      <c r="BC171" s="186">
        <f t="shared" si="357"/>
        <v>-12765.541986860291</v>
      </c>
      <c r="BD171" s="186"/>
      <c r="BE171" s="186">
        <f t="shared" si="357"/>
        <v>-668379469.86007464</v>
      </c>
    </row>
    <row r="172" spans="1:57" x14ac:dyDescent="0.15">
      <c r="G172" s="155"/>
      <c r="H172" s="155">
        <f t="shared" ref="H172:AM172" si="358">+H171-H13</f>
        <v>-1.3199920654296875</v>
      </c>
      <c r="I172" s="155">
        <f t="shared" si="358"/>
        <v>-1.3199838399887085</v>
      </c>
      <c r="J172" s="155">
        <f t="shared" si="358"/>
        <v>-9.3876838684082031E-2</v>
      </c>
      <c r="K172" s="155">
        <f t="shared" si="358"/>
        <v>-9.3868732452392578E-2</v>
      </c>
      <c r="L172" s="155">
        <f t="shared" si="358"/>
        <v>-9.3860745429992676E-2</v>
      </c>
      <c r="M172" s="155">
        <f t="shared" si="358"/>
        <v>-9.3857884407043457E-2</v>
      </c>
      <c r="N172" s="155">
        <f t="shared" si="358"/>
        <v>-9.3857884407043457E-2</v>
      </c>
      <c r="O172" s="155">
        <f t="shared" si="358"/>
        <v>-9.3848466873168945E-2</v>
      </c>
      <c r="P172" s="155">
        <f t="shared" si="358"/>
        <v>-9.3840479850769043E-2</v>
      </c>
      <c r="Q172" s="155">
        <f t="shared" si="358"/>
        <v>-9.3848824501037598E-2</v>
      </c>
      <c r="R172" s="155">
        <f t="shared" si="358"/>
        <v>-9.3840599060058594E-2</v>
      </c>
      <c r="S172" s="155">
        <f t="shared" si="358"/>
        <v>-9.383237361907959E-2</v>
      </c>
      <c r="T172" s="155">
        <f t="shared" si="358"/>
        <v>-9.3833684921264648E-2</v>
      </c>
      <c r="U172" s="155">
        <f t="shared" si="358"/>
        <v>-9.3825340270996094E-2</v>
      </c>
      <c r="V172" s="155">
        <f t="shared" si="358"/>
        <v>-9.3817353248596191E-2</v>
      </c>
      <c r="W172" s="155">
        <f t="shared" si="358"/>
        <v>-9.3817353248596191E-2</v>
      </c>
      <c r="X172" s="155">
        <f t="shared" si="358"/>
        <v>-9.3809127807617188E-2</v>
      </c>
      <c r="Y172" s="155">
        <f t="shared" si="358"/>
        <v>-9.3801021575927734E-2</v>
      </c>
      <c r="Z172" s="155">
        <f t="shared" si="358"/>
        <v>-9.3796253204345703E-2</v>
      </c>
      <c r="AA172" s="155">
        <f>+AA171-AA13</f>
        <v>-9.3796253204345703E-2</v>
      </c>
      <c r="AB172" s="155">
        <f t="shared" si="358"/>
        <v>-9.3788266181945801E-2</v>
      </c>
      <c r="AC172" s="155">
        <f t="shared" si="358"/>
        <v>-9.3780159950256348E-2</v>
      </c>
      <c r="AD172" s="155">
        <f t="shared" si="358"/>
        <v>-9.376072883605957E-2</v>
      </c>
      <c r="AE172" s="155">
        <f t="shared" si="358"/>
        <v>-9.375298023223877E-2</v>
      </c>
      <c r="AF172" s="155">
        <f t="shared" si="358"/>
        <v>-9.3744754791259766E-2</v>
      </c>
      <c r="AG172" s="155">
        <f t="shared" si="358"/>
        <v>-9.3733310699462891E-2</v>
      </c>
      <c r="AH172" s="155">
        <f t="shared" si="358"/>
        <v>-9.3725204467773438E-2</v>
      </c>
      <c r="AI172" s="155">
        <f t="shared" si="358"/>
        <v>-9.3717217445373535E-2</v>
      </c>
      <c r="AJ172" s="155">
        <f t="shared" si="358"/>
        <v>-9.3715071678161621E-2</v>
      </c>
      <c r="AK172" s="155">
        <f t="shared" si="358"/>
        <v>-9.3706846237182617E-2</v>
      </c>
      <c r="AL172" s="155">
        <f t="shared" si="358"/>
        <v>-9.3698740005493164E-2</v>
      </c>
      <c r="AM172" s="155">
        <f t="shared" si="358"/>
        <v>-9.3697071075439453E-2</v>
      </c>
      <c r="AN172" s="155">
        <f t="shared" ref="AN172" si="359">+AN171-AN13</f>
        <v>-9.3697071075439453E-2</v>
      </c>
      <c r="AO172" s="155"/>
      <c r="AQ172" s="40">
        <f t="shared" ref="AQ172:BE172" si="360">+AQ171-AQ23</f>
        <v>0</v>
      </c>
      <c r="AR172" s="40">
        <f t="shared" si="360"/>
        <v>8.3819031715393066E-9</v>
      </c>
      <c r="AS172" s="40">
        <f t="shared" si="360"/>
        <v>6.9849193096160889E-9</v>
      </c>
      <c r="AT172" s="40">
        <f t="shared" si="360"/>
        <v>6.5192580223083496E-9</v>
      </c>
      <c r="AU172" s="40">
        <f t="shared" si="360"/>
        <v>5.5879354476928711E-9</v>
      </c>
      <c r="AV172" s="40">
        <f t="shared" si="360"/>
        <v>5.1222741603851318E-9</v>
      </c>
      <c r="AW172" s="40">
        <f t="shared" si="360"/>
        <v>4.1909515857696533E-9</v>
      </c>
      <c r="AX172" s="40">
        <f t="shared" si="360"/>
        <v>3.2596290111541748E-9</v>
      </c>
      <c r="AY172" s="40">
        <f t="shared" si="360"/>
        <v>2.7939677238464355E-9</v>
      </c>
      <c r="AZ172" s="40">
        <f t="shared" si="360"/>
        <v>2.3283064365386963E-9</v>
      </c>
      <c r="BA172" s="40">
        <f t="shared" si="360"/>
        <v>1.5133991837501526E-9</v>
      </c>
      <c r="BB172" s="40">
        <f t="shared" si="360"/>
        <v>7.5669959187507629E-10</v>
      </c>
      <c r="BC172" s="40">
        <f t="shared" si="360"/>
        <v>2.1827872842550278E-11</v>
      </c>
      <c r="BE172" s="40">
        <f t="shared" si="360"/>
        <v>0</v>
      </c>
    </row>
    <row r="173" spans="1:57" x14ac:dyDescent="0.15">
      <c r="G173" s="155"/>
      <c r="H173" s="155"/>
    </row>
    <row r="174" spans="1:57" x14ac:dyDescent="0.15">
      <c r="G174" s="155"/>
      <c r="H174" s="155"/>
    </row>
    <row r="175" spans="1:57" x14ac:dyDescent="0.15">
      <c r="A175" s="180" t="s">
        <v>96</v>
      </c>
      <c r="G175" s="155"/>
      <c r="H175" s="155"/>
    </row>
    <row r="176" spans="1:57" x14ac:dyDescent="0.15">
      <c r="A176" s="39" t="s">
        <v>58</v>
      </c>
      <c r="G176" s="155"/>
      <c r="H176" s="187"/>
      <c r="I176" s="187"/>
      <c r="J176" s="187">
        <f>VLOOKUP($A176,'LG&amp;E Provision'!$B$4:$E$79,J$1,FALSE)/4*1000</f>
        <v>3669551.4145359984</v>
      </c>
      <c r="M176" s="155">
        <f>+J176</f>
        <v>3669551.4145359984</v>
      </c>
      <c r="Q176" s="187">
        <f>VLOOKUP($A176,'LG&amp;E Provision'!$B$4:$E$79,Q$1,FALSE)/4*1000</f>
        <v>-1303328.5243455623</v>
      </c>
      <c r="T176" s="155">
        <f t="shared" ref="T176:T185" si="361">+Q176</f>
        <v>-1303328.5243455623</v>
      </c>
      <c r="W176" s="155">
        <f t="shared" ref="W176:W185" si="362">+T176</f>
        <v>-1303328.5243455623</v>
      </c>
      <c r="Z176" s="155">
        <f t="shared" ref="Z176:Z185" si="363">+W176</f>
        <v>-1303328.5243455623</v>
      </c>
      <c r="AD176" s="187">
        <f>VLOOKUP($A176,'LG&amp;E Provision'!$B$4:$E$79,AD$1,FALSE)/4*1000</f>
        <v>-61325.195435006208</v>
      </c>
      <c r="AG176" s="155">
        <f t="shared" ref="AG176:AG185" si="364">+AD176</f>
        <v>-61325.195435006208</v>
      </c>
      <c r="AJ176" s="187">
        <f t="shared" ref="AJ176:AJ185" si="365">+AG176</f>
        <v>-61325.195435006208</v>
      </c>
      <c r="AM176" s="155">
        <f t="shared" ref="AM176:AM185" si="366">+AJ176</f>
        <v>-61325.195435006208</v>
      </c>
    </row>
    <row r="177" spans="1:39" x14ac:dyDescent="0.15">
      <c r="A177" s="39" t="s">
        <v>90</v>
      </c>
      <c r="G177" s="155"/>
      <c r="H177" s="187"/>
      <c r="I177" s="187"/>
      <c r="J177" s="187">
        <f>VLOOKUP($A177,'LG&amp;E Provision'!$B$4:$E$79,J$1,FALSE)/4*1000</f>
        <v>170673.31749999983</v>
      </c>
      <c r="M177" s="155">
        <f t="shared" ref="M177:M212" si="367">+J177</f>
        <v>170673.31749999983</v>
      </c>
      <c r="Q177" s="187">
        <f>VLOOKUP($A177,'LG&amp;E Provision'!$B$4:$E$79,Q$1,FALSE)/4*1000</f>
        <v>779748.08999999973</v>
      </c>
      <c r="T177" s="187">
        <f t="shared" si="361"/>
        <v>779748.08999999973</v>
      </c>
      <c r="W177" s="187">
        <f t="shared" si="362"/>
        <v>779748.08999999973</v>
      </c>
      <c r="Z177" s="187">
        <f t="shared" si="363"/>
        <v>779748.08999999973</v>
      </c>
      <c r="AD177" s="187">
        <f>VLOOKUP($A177,'LG&amp;E Provision'!$B$4:$E$79,AD$1,FALSE)/4*1000</f>
        <v>0</v>
      </c>
      <c r="AG177" s="187">
        <f t="shared" si="364"/>
        <v>0</v>
      </c>
      <c r="AJ177" s="187">
        <f t="shared" si="365"/>
        <v>0</v>
      </c>
      <c r="AM177" s="187">
        <f t="shared" si="366"/>
        <v>0</v>
      </c>
    </row>
    <row r="178" spans="1:39" x14ac:dyDescent="0.15">
      <c r="A178" s="39" t="s">
        <v>39</v>
      </c>
      <c r="G178" s="155"/>
      <c r="H178" s="187"/>
      <c r="I178" s="187"/>
      <c r="J178" s="187">
        <f>VLOOKUP($A178,'LG&amp;E Provision'!$B$4:$E$79,J$1,FALSE)/4*1000</f>
        <v>201303.09</v>
      </c>
      <c r="M178" s="155">
        <f t="shared" si="367"/>
        <v>201303.09</v>
      </c>
      <c r="Q178" s="187">
        <f>VLOOKUP($A178,'LG&amp;E Provision'!$B$4:$E$79,Q$1,FALSE)/4*1000</f>
        <v>15484.850000000022</v>
      </c>
      <c r="T178" s="187">
        <f t="shared" si="361"/>
        <v>15484.850000000022</v>
      </c>
      <c r="W178" s="187">
        <f t="shared" si="362"/>
        <v>15484.850000000022</v>
      </c>
      <c r="Z178" s="187">
        <f t="shared" si="363"/>
        <v>15484.850000000022</v>
      </c>
      <c r="AD178" s="187">
        <f>VLOOKUP($A178,'LG&amp;E Provision'!$B$4:$E$79,AD$1,FALSE)/4*1000</f>
        <v>-77424.269999999975</v>
      </c>
      <c r="AG178" s="187">
        <f t="shared" si="364"/>
        <v>-77424.269999999975</v>
      </c>
      <c r="AJ178" s="187">
        <f t="shared" si="365"/>
        <v>-77424.269999999975</v>
      </c>
      <c r="AM178" s="187">
        <f t="shared" si="366"/>
        <v>-77424.269999999975</v>
      </c>
    </row>
    <row r="179" spans="1:39" x14ac:dyDescent="0.15">
      <c r="A179" s="39" t="s">
        <v>88</v>
      </c>
      <c r="G179" s="155"/>
      <c r="H179" s="187"/>
      <c r="I179" s="187"/>
      <c r="J179" s="187">
        <f>VLOOKUP($A179,'LG&amp;E Provision'!$B$4:$E$79,J$1,FALSE)/4*1000</f>
        <v>-180106.25500000003</v>
      </c>
      <c r="M179" s="155">
        <f t="shared" si="367"/>
        <v>-180106.25500000003</v>
      </c>
      <c r="Q179" s="187">
        <f>VLOOKUP($A179,'LG&amp;E Provision'!$B$4:$E$79,Q$1,FALSE)/4*1000</f>
        <v>-296668.755</v>
      </c>
      <c r="T179" s="187">
        <f t="shared" si="361"/>
        <v>-296668.755</v>
      </c>
      <c r="W179" s="187">
        <f t="shared" si="362"/>
        <v>-296668.755</v>
      </c>
      <c r="Z179" s="187">
        <f t="shared" si="363"/>
        <v>-296668.755</v>
      </c>
      <c r="AD179" s="187">
        <f>VLOOKUP($A179,'LG&amp;E Provision'!$B$4:$E$79,AD$1,FALSE)/4*1000</f>
        <v>0</v>
      </c>
      <c r="AG179" s="187">
        <f t="shared" si="364"/>
        <v>0</v>
      </c>
      <c r="AJ179" s="187">
        <f t="shared" si="365"/>
        <v>0</v>
      </c>
      <c r="AM179" s="187">
        <f t="shared" si="366"/>
        <v>0</v>
      </c>
    </row>
    <row r="180" spans="1:39" x14ac:dyDescent="0.15">
      <c r="A180" s="39" t="s">
        <v>37</v>
      </c>
      <c r="G180" s="155"/>
      <c r="H180" s="187"/>
      <c r="I180" s="187"/>
      <c r="J180" s="187">
        <f>VLOOKUP($A180,'LG&amp;E Provision'!$B$4:$E$79,J$1,FALSE)/4*1000</f>
        <v>588508.31999999995</v>
      </c>
      <c r="M180" s="155">
        <f t="shared" si="367"/>
        <v>588508.31999999995</v>
      </c>
      <c r="Q180" s="187">
        <f>VLOOKUP($A180,'LG&amp;E Provision'!$B$4:$E$79,Q$1,FALSE)/4*1000</f>
        <v>422518.79307692207</v>
      </c>
      <c r="T180" s="187">
        <f t="shared" si="361"/>
        <v>422518.79307692207</v>
      </c>
      <c r="W180" s="187">
        <f t="shared" si="362"/>
        <v>422518.79307692207</v>
      </c>
      <c r="Z180" s="187">
        <f t="shared" si="363"/>
        <v>422518.79307692207</v>
      </c>
      <c r="AD180" s="187">
        <f>VLOOKUP($A180,'LG&amp;E Provision'!$B$4:$E$79,AD$1,FALSE)/4*1000</f>
        <v>339524.0296153829</v>
      </c>
      <c r="AG180" s="187">
        <f t="shared" si="364"/>
        <v>339524.0296153829</v>
      </c>
      <c r="AJ180" s="187">
        <f t="shared" si="365"/>
        <v>339524.0296153829</v>
      </c>
      <c r="AM180" s="187">
        <f t="shared" si="366"/>
        <v>339524.0296153829</v>
      </c>
    </row>
    <row r="181" spans="1:39" x14ac:dyDescent="0.15">
      <c r="A181" s="39" t="s">
        <v>77</v>
      </c>
      <c r="G181" s="155"/>
      <c r="H181" s="187"/>
      <c r="I181" s="187"/>
      <c r="J181" s="187">
        <f>VLOOKUP($A181,'LG&amp;E Provision'!$B$4:$E$79,J$1,FALSE)/4*1000</f>
        <v>237476.54869863004</v>
      </c>
      <c r="M181" s="155">
        <f t="shared" si="367"/>
        <v>237476.54869863004</v>
      </c>
      <c r="Q181" s="187">
        <f>VLOOKUP($A181,'LG&amp;E Provision'!$B$4:$E$79,Q$1,FALSE)/4*1000</f>
        <v>236902.27999999889</v>
      </c>
      <c r="T181" s="187">
        <f t="shared" si="361"/>
        <v>236902.27999999889</v>
      </c>
      <c r="W181" s="187">
        <f t="shared" si="362"/>
        <v>236902.27999999889</v>
      </c>
      <c r="Z181" s="187">
        <f t="shared" si="363"/>
        <v>236902.27999999889</v>
      </c>
      <c r="AD181" s="187">
        <f>VLOOKUP($A181,'LG&amp;E Provision'!$B$4:$E$79,AD$1,FALSE)/4*1000</f>
        <v>237285.12246575201</v>
      </c>
      <c r="AG181" s="187">
        <f t="shared" si="364"/>
        <v>237285.12246575201</v>
      </c>
      <c r="AJ181" s="187">
        <f t="shared" si="365"/>
        <v>237285.12246575201</v>
      </c>
      <c r="AM181" s="187">
        <f t="shared" si="366"/>
        <v>237285.12246575201</v>
      </c>
    </row>
    <row r="182" spans="1:39" x14ac:dyDescent="0.15">
      <c r="A182" s="39" t="s">
        <v>294</v>
      </c>
      <c r="G182" s="155"/>
      <c r="H182" s="187"/>
      <c r="I182" s="187"/>
      <c r="J182" s="187">
        <f>VLOOKUP($A182,'LG&amp;E Provision'!$B$4:$E$79,J$1,FALSE)/4*1000</f>
        <v>597858.9803225823</v>
      </c>
      <c r="M182" s="155">
        <f t="shared" si="367"/>
        <v>597858.9803225823</v>
      </c>
      <c r="Q182" s="187">
        <f>VLOOKUP($A182,'LG&amp;E Provision'!$B$4:$E$79,Q$1,FALSE)/4*1000</f>
        <v>597858.9911290328</v>
      </c>
      <c r="T182" s="187">
        <f t="shared" si="361"/>
        <v>597858.9911290328</v>
      </c>
      <c r="W182" s="187">
        <f t="shared" si="362"/>
        <v>597858.9911290328</v>
      </c>
      <c r="Z182" s="187">
        <f t="shared" si="363"/>
        <v>597858.9911290328</v>
      </c>
      <c r="AD182" s="187">
        <f>VLOOKUP($A182,'LG&amp;E Provision'!$B$4:$E$79,AD$1,FALSE)/4*1000</f>
        <v>599496.96096774284</v>
      </c>
      <c r="AG182" s="187">
        <f t="shared" si="364"/>
        <v>599496.96096774284</v>
      </c>
      <c r="AJ182" s="187">
        <f t="shared" si="365"/>
        <v>599496.96096774284</v>
      </c>
      <c r="AM182" s="187">
        <f t="shared" si="366"/>
        <v>599496.96096774284</v>
      </c>
    </row>
    <row r="183" spans="1:39" x14ac:dyDescent="0.15">
      <c r="A183" s="39" t="s">
        <v>295</v>
      </c>
      <c r="G183" s="155"/>
      <c r="H183" s="187"/>
      <c r="I183" s="187"/>
      <c r="J183" s="187">
        <f>VLOOKUP($A183,'LG&amp;E Provision'!$B$4:$E$79,J$1,FALSE)/4*1000</f>
        <v>-358384.58089651429</v>
      </c>
      <c r="M183" s="155">
        <f t="shared" si="367"/>
        <v>-358384.58089651429</v>
      </c>
      <c r="Q183" s="187">
        <f>VLOOKUP($A183,'LG&amp;E Provision'!$B$4:$E$79,Q$1,FALSE)/4*1000</f>
        <v>-358343.85979471332</v>
      </c>
      <c r="T183" s="187">
        <f t="shared" si="361"/>
        <v>-358343.85979471332</v>
      </c>
      <c r="W183" s="187">
        <f t="shared" si="362"/>
        <v>-358343.85979471332</v>
      </c>
      <c r="Z183" s="187">
        <f t="shared" si="363"/>
        <v>-358343.85979471332</v>
      </c>
      <c r="AD183" s="187">
        <f>VLOOKUP($A183,'LG&amp;E Provision'!$B$4:$E$79,AD$1,FALSE)/4*1000</f>
        <v>-359325.62379414594</v>
      </c>
      <c r="AG183" s="187">
        <f t="shared" si="364"/>
        <v>-359325.62379414594</v>
      </c>
      <c r="AJ183" s="187">
        <f t="shared" si="365"/>
        <v>-359325.62379414594</v>
      </c>
      <c r="AM183" s="187">
        <f t="shared" si="366"/>
        <v>-359325.62379414594</v>
      </c>
    </row>
    <row r="184" spans="1:39" x14ac:dyDescent="0.15">
      <c r="A184" s="39" t="s">
        <v>49</v>
      </c>
      <c r="G184" s="155"/>
      <c r="H184" s="187"/>
      <c r="I184" s="187"/>
      <c r="J184" s="187">
        <f>VLOOKUP($A184,'LG&amp;E Provision'!$B$4:$E$79,J$1,FALSE)/4*1000</f>
        <v>0</v>
      </c>
      <c r="M184" s="155">
        <f t="shared" si="367"/>
        <v>0</v>
      </c>
      <c r="Q184" s="187">
        <f>VLOOKUP($A184,'LG&amp;E Provision'!$B$4:$E$79,Q$1,FALSE)/4*1000</f>
        <v>24389.999999999985</v>
      </c>
      <c r="T184" s="187">
        <f t="shared" si="361"/>
        <v>24389.999999999985</v>
      </c>
      <c r="W184" s="187">
        <f t="shared" si="362"/>
        <v>24389.999999999985</v>
      </c>
      <c r="Z184" s="187">
        <f t="shared" si="363"/>
        <v>24389.999999999985</v>
      </c>
      <c r="AD184" s="187">
        <f>VLOOKUP($A184,'LG&amp;E Provision'!$B$4:$E$79,AD$1,FALSE)/4*1000</f>
        <v>14227.500000000002</v>
      </c>
      <c r="AG184" s="187">
        <f t="shared" si="364"/>
        <v>14227.500000000002</v>
      </c>
      <c r="AJ184" s="187">
        <f t="shared" si="365"/>
        <v>14227.500000000002</v>
      </c>
      <c r="AM184" s="187">
        <f t="shared" si="366"/>
        <v>14227.500000000002</v>
      </c>
    </row>
    <row r="185" spans="1:39" x14ac:dyDescent="0.15">
      <c r="A185" s="39" t="s">
        <v>297</v>
      </c>
      <c r="G185" s="155"/>
      <c r="H185" s="187"/>
      <c r="I185" s="187"/>
      <c r="J185" s="187">
        <f>VLOOKUP($A185,'LG&amp;E Provision'!$B$4:$E$79,J$1,FALSE)/4*1000</f>
        <v>0</v>
      </c>
      <c r="M185" s="155">
        <f t="shared" si="367"/>
        <v>0</v>
      </c>
      <c r="Q185" s="187">
        <f>VLOOKUP($A185,'LG&amp;E Provision'!$B$4:$E$79,Q$1,FALSE)/4*1000</f>
        <v>0</v>
      </c>
      <c r="T185" s="187">
        <f t="shared" si="361"/>
        <v>0</v>
      </c>
      <c r="W185" s="187">
        <f t="shared" si="362"/>
        <v>0</v>
      </c>
      <c r="Z185" s="187">
        <f t="shared" si="363"/>
        <v>0</v>
      </c>
      <c r="AD185" s="187">
        <f>VLOOKUP($A185,'LG&amp;E Provision'!$B$4:$E$79,AD$1,FALSE)/4*1000</f>
        <v>0</v>
      </c>
      <c r="AG185" s="187">
        <f t="shared" si="364"/>
        <v>0</v>
      </c>
      <c r="AJ185" s="187">
        <f t="shared" si="365"/>
        <v>0</v>
      </c>
      <c r="AM185" s="187">
        <f t="shared" si="366"/>
        <v>0</v>
      </c>
    </row>
    <row r="186" spans="1:39" x14ac:dyDescent="0.15">
      <c r="A186" s="39" t="s">
        <v>299</v>
      </c>
      <c r="G186" s="155"/>
      <c r="H186" s="187"/>
      <c r="I186" s="187"/>
      <c r="J186" s="187">
        <f>VLOOKUP($A186,'LG&amp;E Provision'!$B$4:$E$79,J$1,FALSE)/4*1000</f>
        <v>46152.404999999984</v>
      </c>
      <c r="M186" s="155">
        <f t="shared" si="367"/>
        <v>46152.404999999984</v>
      </c>
      <c r="Q186" s="187">
        <f>VLOOKUP($A186,'LG&amp;E Provision'!$B$4:$E$79,Q$1,FALSE)/4*1000</f>
        <v>46184.039999999979</v>
      </c>
      <c r="T186" s="187">
        <f t="shared" ref="T186:T195" si="368">+Q186</f>
        <v>46184.039999999979</v>
      </c>
      <c r="W186" s="187">
        <f t="shared" ref="W186:W195" si="369">+T186</f>
        <v>46184.039999999979</v>
      </c>
      <c r="Z186" s="187">
        <f t="shared" ref="Z186:Z195" si="370">+W186</f>
        <v>46184.039999999979</v>
      </c>
      <c r="AD186" s="187">
        <f>VLOOKUP($A186,'LG&amp;E Provision'!$B$4:$E$79,AD$1,FALSE)/4*1000</f>
        <v>46184.039999999979</v>
      </c>
      <c r="AG186" s="187">
        <f t="shared" ref="AG186:AG195" si="371">+AD186</f>
        <v>46184.039999999979</v>
      </c>
      <c r="AJ186" s="187">
        <f t="shared" ref="AJ186:AJ195" si="372">+AG186</f>
        <v>46184.039999999979</v>
      </c>
      <c r="AM186" s="187">
        <f t="shared" ref="AM186:AM195" si="373">+AJ186</f>
        <v>46184.039999999979</v>
      </c>
    </row>
    <row r="187" spans="1:39" x14ac:dyDescent="0.15">
      <c r="A187" s="39" t="s">
        <v>300</v>
      </c>
      <c r="G187" s="155"/>
      <c r="H187" s="187"/>
      <c r="I187" s="187"/>
      <c r="J187" s="187">
        <f>VLOOKUP($A187,'LG&amp;E Provision'!$B$4:$E$79,J$1,FALSE)/4*1000</f>
        <v>2744.754873528464</v>
      </c>
      <c r="M187" s="155">
        <f t="shared" si="367"/>
        <v>2744.754873528464</v>
      </c>
      <c r="Q187" s="187">
        <f>VLOOKUP($A187,'LG&amp;E Provision'!$B$4:$E$79,Q$1,FALSE)/4*1000</f>
        <v>-50541.631405219778</v>
      </c>
      <c r="T187" s="187">
        <f t="shared" si="368"/>
        <v>-50541.631405219778</v>
      </c>
      <c r="W187" s="187">
        <f t="shared" si="369"/>
        <v>-50541.631405219778</v>
      </c>
      <c r="Z187" s="187">
        <f t="shared" si="370"/>
        <v>-50541.631405219778</v>
      </c>
      <c r="AD187" s="187">
        <f>VLOOKUP($A187,'LG&amp;E Provision'!$B$4:$E$79,AD$1,FALSE)/4*1000</f>
        <v>18837.381348034454</v>
      </c>
      <c r="AG187" s="187">
        <f t="shared" si="371"/>
        <v>18837.381348034454</v>
      </c>
      <c r="AJ187" s="187">
        <f t="shared" si="372"/>
        <v>18837.381348034454</v>
      </c>
      <c r="AM187" s="187">
        <f t="shared" si="373"/>
        <v>18837.381348034454</v>
      </c>
    </row>
    <row r="188" spans="1:39" x14ac:dyDescent="0.15">
      <c r="A188" s="39" t="s">
        <v>302</v>
      </c>
      <c r="G188" s="155"/>
      <c r="H188" s="187"/>
      <c r="I188" s="187"/>
      <c r="J188" s="187">
        <f>VLOOKUP($A188,'LG&amp;E Provision'!$B$4:$E$79,J$1,FALSE)/4*1000</f>
        <v>45972.917499999967</v>
      </c>
      <c r="M188" s="155">
        <f t="shared" si="367"/>
        <v>45972.917499999967</v>
      </c>
      <c r="Q188" s="187">
        <f>VLOOKUP($A188,'LG&amp;E Provision'!$B$4:$E$79,Q$1,FALSE)/4*1000</f>
        <v>-43464.582500000091</v>
      </c>
      <c r="T188" s="187">
        <f t="shared" si="368"/>
        <v>-43464.582500000091</v>
      </c>
      <c r="W188" s="187">
        <f t="shared" si="369"/>
        <v>-43464.582500000091</v>
      </c>
      <c r="Z188" s="187">
        <f t="shared" si="370"/>
        <v>-43464.582500000091</v>
      </c>
      <c r="AD188" s="187">
        <f>VLOOKUP($A188,'LG&amp;E Provision'!$B$4:$E$79,AD$1,FALSE)/4*1000</f>
        <v>-21732.300000000039</v>
      </c>
      <c r="AG188" s="187">
        <f t="shared" si="371"/>
        <v>-21732.300000000039</v>
      </c>
      <c r="AJ188" s="187">
        <f t="shared" si="372"/>
        <v>-21732.300000000039</v>
      </c>
      <c r="AM188" s="187">
        <f t="shared" si="373"/>
        <v>-21732.300000000039</v>
      </c>
    </row>
    <row r="189" spans="1:39" x14ac:dyDescent="0.15">
      <c r="A189" s="39" t="s">
        <v>59</v>
      </c>
      <c r="G189" s="155"/>
      <c r="H189" s="187"/>
      <c r="I189" s="187"/>
      <c r="J189" s="187">
        <f>VLOOKUP($A189,'LG&amp;E Provision'!$B$4:$E$79,J$1,FALSE)/4*1000</f>
        <v>568562.15724549175</v>
      </c>
      <c r="M189" s="155">
        <f t="shared" si="367"/>
        <v>568562.15724549175</v>
      </c>
      <c r="Q189" s="187">
        <f>VLOOKUP($A189,'LG&amp;E Provision'!$B$4:$E$79,Q$1,FALSE)/4*1000</f>
        <v>-466675.26190138143</v>
      </c>
      <c r="T189" s="187">
        <f t="shared" si="368"/>
        <v>-466675.26190138143</v>
      </c>
      <c r="W189" s="187">
        <f t="shared" si="369"/>
        <v>-466675.26190138143</v>
      </c>
      <c r="Z189" s="187">
        <f t="shared" si="370"/>
        <v>-466675.26190138143</v>
      </c>
      <c r="AD189" s="187">
        <f>VLOOKUP($A189,'LG&amp;E Provision'!$B$4:$E$79,AD$1,FALSE)/4*1000</f>
        <v>45530.108666744578</v>
      </c>
      <c r="AG189" s="187">
        <f t="shared" si="371"/>
        <v>45530.108666744578</v>
      </c>
      <c r="AJ189" s="187">
        <f t="shared" si="372"/>
        <v>45530.108666744578</v>
      </c>
      <c r="AM189" s="187">
        <f t="shared" si="373"/>
        <v>45530.108666744578</v>
      </c>
    </row>
    <row r="190" spans="1:39" x14ac:dyDescent="0.15">
      <c r="A190" s="39" t="s">
        <v>53</v>
      </c>
      <c r="G190" s="155"/>
      <c r="H190" s="187"/>
      <c r="I190" s="187"/>
      <c r="J190" s="187">
        <f>VLOOKUP($A190,'LG&amp;E Provision'!$B$4:$E$79,J$1,FALSE)/4*1000</f>
        <v>88165.695000000007</v>
      </c>
      <c r="M190" s="155">
        <f t="shared" si="367"/>
        <v>88165.695000000007</v>
      </c>
      <c r="Q190" s="187">
        <f>VLOOKUP($A190,'LG&amp;E Provision'!$B$4:$E$79,Q$1,FALSE)/4*1000</f>
        <v>-114737.57999999999</v>
      </c>
      <c r="T190" s="187">
        <f t="shared" si="368"/>
        <v>-114737.57999999999</v>
      </c>
      <c r="W190" s="187">
        <f t="shared" si="369"/>
        <v>-114737.57999999999</v>
      </c>
      <c r="Z190" s="187">
        <f t="shared" si="370"/>
        <v>-114737.57999999999</v>
      </c>
      <c r="AD190" s="187">
        <f>VLOOKUP($A190,'LG&amp;E Provision'!$B$4:$E$79,AD$1,FALSE)/4*1000</f>
        <v>0</v>
      </c>
      <c r="AG190" s="187">
        <f t="shared" si="371"/>
        <v>0</v>
      </c>
      <c r="AJ190" s="187">
        <f t="shared" si="372"/>
        <v>0</v>
      </c>
      <c r="AM190" s="187">
        <f t="shared" si="373"/>
        <v>0</v>
      </c>
    </row>
    <row r="191" spans="1:39" x14ac:dyDescent="0.15">
      <c r="A191" s="39" t="s">
        <v>303</v>
      </c>
      <c r="G191" s="155"/>
      <c r="H191" s="187"/>
      <c r="I191" s="187"/>
      <c r="J191" s="187">
        <f>VLOOKUP($A191,'LG&amp;E Provision'!$B$4:$E$79,J$1,FALSE)/4*1000</f>
        <v>825135.2500000007</v>
      </c>
      <c r="M191" s="155">
        <f t="shared" si="367"/>
        <v>825135.2500000007</v>
      </c>
      <c r="Q191" s="187">
        <f>VLOOKUP($A191,'LG&amp;E Provision'!$B$4:$E$79,Q$1,FALSE)/4*1000</f>
        <v>755224.50000000116</v>
      </c>
      <c r="T191" s="187">
        <f t="shared" si="368"/>
        <v>755224.50000000116</v>
      </c>
      <c r="W191" s="187">
        <f t="shared" si="369"/>
        <v>755224.50000000116</v>
      </c>
      <c r="Z191" s="187">
        <f t="shared" si="370"/>
        <v>755224.50000000116</v>
      </c>
      <c r="AD191" s="187">
        <f>VLOOKUP($A191,'LG&amp;E Provision'!$B$4:$E$79,AD$1,FALSE)/4*1000</f>
        <v>746253.74999999988</v>
      </c>
      <c r="AG191" s="187">
        <f t="shared" si="371"/>
        <v>746253.74999999988</v>
      </c>
      <c r="AJ191" s="187">
        <f t="shared" si="372"/>
        <v>746253.74999999988</v>
      </c>
      <c r="AM191" s="187">
        <f t="shared" si="373"/>
        <v>746253.74999999988</v>
      </c>
    </row>
    <row r="192" spans="1:39" x14ac:dyDescent="0.15">
      <c r="A192" s="39" t="s">
        <v>304</v>
      </c>
      <c r="G192" s="155"/>
      <c r="H192" s="187"/>
      <c r="I192" s="187"/>
      <c r="J192" s="187">
        <f>VLOOKUP($A192,'LG&amp;E Provision'!$B$4:$E$79,J$1,FALSE)/4*1000</f>
        <v>-1585886.75</v>
      </c>
      <c r="M192" s="155">
        <f t="shared" si="367"/>
        <v>-1585886.75</v>
      </c>
      <c r="Q192" s="187">
        <f>VLOOKUP($A192,'LG&amp;E Provision'!$B$4:$E$79,Q$1,FALSE)/4*1000</f>
        <v>-1630248</v>
      </c>
      <c r="T192" s="187">
        <f t="shared" si="368"/>
        <v>-1630248</v>
      </c>
      <c r="W192" s="187">
        <f t="shared" si="369"/>
        <v>-1630248</v>
      </c>
      <c r="Z192" s="187">
        <f t="shared" si="370"/>
        <v>-1630248</v>
      </c>
      <c r="AD192" s="187">
        <f>VLOOKUP($A192,'LG&amp;E Provision'!$B$4:$E$79,AD$1,FALSE)/4*1000</f>
        <v>-1651689</v>
      </c>
      <c r="AG192" s="187">
        <f t="shared" si="371"/>
        <v>-1651689</v>
      </c>
      <c r="AJ192" s="187">
        <f t="shared" si="372"/>
        <v>-1651689</v>
      </c>
      <c r="AM192" s="187">
        <f t="shared" si="373"/>
        <v>-1651689</v>
      </c>
    </row>
    <row r="193" spans="1:39" x14ac:dyDescent="0.15">
      <c r="A193" s="39" t="s">
        <v>41</v>
      </c>
      <c r="G193" s="155"/>
      <c r="H193" s="187"/>
      <c r="I193" s="187"/>
      <c r="J193" s="187">
        <f>VLOOKUP($A193,'LG&amp;E Provision'!$B$4:$E$79,J$1,FALSE)/4*1000</f>
        <v>254743.39750000081</v>
      </c>
      <c r="M193" s="155">
        <f t="shared" si="367"/>
        <v>254743.39750000081</v>
      </c>
      <c r="Q193" s="187">
        <f>VLOOKUP($A193,'LG&amp;E Provision'!$B$4:$E$79,Q$1,FALSE)/4*1000</f>
        <v>256374.39500000028</v>
      </c>
      <c r="T193" s="187">
        <f t="shared" si="368"/>
        <v>256374.39500000028</v>
      </c>
      <c r="W193" s="187">
        <f t="shared" si="369"/>
        <v>256374.39500000028</v>
      </c>
      <c r="Z193" s="187">
        <f t="shared" si="370"/>
        <v>256374.39500000028</v>
      </c>
      <c r="AD193" s="187">
        <f>VLOOKUP($A193,'LG&amp;E Provision'!$B$4:$E$79,AD$1,FALSE)/4*1000</f>
        <v>194366.43703320305</v>
      </c>
      <c r="AG193" s="187">
        <f t="shared" si="371"/>
        <v>194366.43703320305</v>
      </c>
      <c r="AJ193" s="187">
        <f t="shared" si="372"/>
        <v>194366.43703320305</v>
      </c>
      <c r="AM193" s="187">
        <f t="shared" si="373"/>
        <v>194366.43703320305</v>
      </c>
    </row>
    <row r="194" spans="1:39" x14ac:dyDescent="0.15">
      <c r="A194" s="39" t="s">
        <v>70</v>
      </c>
      <c r="G194" s="155"/>
      <c r="H194" s="187"/>
      <c r="I194" s="187"/>
      <c r="J194" s="187">
        <f>VLOOKUP($A194,'LG&amp;E Provision'!$B$4:$E$79,J$1,FALSE)/4*1000</f>
        <v>0</v>
      </c>
      <c r="M194" s="155">
        <f t="shared" si="367"/>
        <v>0</v>
      </c>
      <c r="Q194" s="187">
        <f>VLOOKUP($A194,'LG&amp;E Provision'!$B$4:$E$79,Q$1,FALSE)/4*1000</f>
        <v>0</v>
      </c>
      <c r="T194" s="187">
        <f t="shared" si="368"/>
        <v>0</v>
      </c>
      <c r="W194" s="187">
        <f t="shared" si="369"/>
        <v>0</v>
      </c>
      <c r="Z194" s="187">
        <f t="shared" si="370"/>
        <v>0</v>
      </c>
      <c r="AD194" s="187">
        <f>VLOOKUP($A194,'LG&amp;E Provision'!$B$4:$E$79,AD$1,FALSE)/4*1000</f>
        <v>0</v>
      </c>
      <c r="AG194" s="187">
        <f t="shared" si="371"/>
        <v>0</v>
      </c>
      <c r="AJ194" s="187">
        <f t="shared" si="372"/>
        <v>0</v>
      </c>
      <c r="AM194" s="187">
        <f t="shared" si="373"/>
        <v>0</v>
      </c>
    </row>
    <row r="195" spans="1:39" x14ac:dyDescent="0.15">
      <c r="A195" s="39" t="s">
        <v>305</v>
      </c>
      <c r="G195" s="155"/>
      <c r="H195" s="187"/>
      <c r="I195" s="187"/>
      <c r="J195" s="187">
        <f>VLOOKUP($A195,'LG&amp;E Provision'!$B$4:$E$79,J$1,FALSE)/4*1000</f>
        <v>456093.62579456659</v>
      </c>
      <c r="M195" s="155">
        <f t="shared" si="367"/>
        <v>456093.62579456659</v>
      </c>
      <c r="Q195" s="187">
        <f>VLOOKUP($A195,'LG&amp;E Provision'!$B$4:$E$79,Q$1,FALSE)/4*1000</f>
        <v>-193124.7940561118</v>
      </c>
      <c r="T195" s="187">
        <f t="shared" si="368"/>
        <v>-193124.7940561118</v>
      </c>
      <c r="W195" s="187">
        <f t="shared" si="369"/>
        <v>-193124.7940561118</v>
      </c>
      <c r="Z195" s="187">
        <f t="shared" si="370"/>
        <v>-193124.7940561118</v>
      </c>
      <c r="AD195" s="187">
        <f>VLOOKUP($A195,'LG&amp;E Provision'!$B$4:$E$79,AD$1,FALSE)/4*1000</f>
        <v>-484924.39158083539</v>
      </c>
      <c r="AG195" s="187">
        <f t="shared" si="371"/>
        <v>-484924.39158083539</v>
      </c>
      <c r="AJ195" s="187">
        <f t="shared" si="372"/>
        <v>-484924.39158083539</v>
      </c>
      <c r="AM195" s="187">
        <f t="shared" si="373"/>
        <v>-484924.39158083539</v>
      </c>
    </row>
    <row r="196" spans="1:39" x14ac:dyDescent="0.15">
      <c r="A196" s="39" t="s">
        <v>306</v>
      </c>
      <c r="G196" s="155"/>
      <c r="H196" s="187"/>
      <c r="I196" s="187"/>
      <c r="J196" s="187">
        <f>VLOOKUP($A196,'LG&amp;E Provision'!$B$4:$E$79,J$1,FALSE)/4*1000</f>
        <v>-162590.75</v>
      </c>
      <c r="M196" s="155">
        <f t="shared" si="367"/>
        <v>-162590.75</v>
      </c>
      <c r="Q196" s="187">
        <f>VLOOKUP($A196,'LG&amp;E Provision'!$B$4:$E$79,Q$1,FALSE)/4*1000</f>
        <v>0</v>
      </c>
      <c r="T196" s="187">
        <f t="shared" ref="T196:T213" si="374">+Q196</f>
        <v>0</v>
      </c>
      <c r="W196" s="187">
        <f t="shared" ref="W196:W213" si="375">+T196</f>
        <v>0</v>
      </c>
      <c r="Z196" s="187">
        <f t="shared" ref="Z196:Z213" si="376">+W196</f>
        <v>0</v>
      </c>
      <c r="AD196" s="187">
        <f>VLOOKUP($A196,'LG&amp;E Provision'!$B$4:$E$79,AD$1,FALSE)/4*1000</f>
        <v>0</v>
      </c>
      <c r="AG196" s="187">
        <f t="shared" ref="AG196:AG213" si="377">+AD196</f>
        <v>0</v>
      </c>
      <c r="AJ196" s="187">
        <f t="shared" ref="AJ196:AJ213" si="378">+AG196</f>
        <v>0</v>
      </c>
      <c r="AM196" s="187">
        <f t="shared" ref="AM196:AM213" si="379">+AJ196</f>
        <v>0</v>
      </c>
    </row>
    <row r="197" spans="1:39" x14ac:dyDescent="0.15">
      <c r="A197" s="39" t="s">
        <v>75</v>
      </c>
      <c r="G197" s="155"/>
      <c r="H197" s="187"/>
      <c r="I197" s="187"/>
      <c r="J197" s="187">
        <f>VLOOKUP($A197,'LG&amp;E Provision'!$B$4:$E$79,J$1,FALSE)/4*1000</f>
        <v>-199271.37675619393</v>
      </c>
      <c r="M197" s="155">
        <f t="shared" si="367"/>
        <v>-199271.37675619393</v>
      </c>
      <c r="Q197" s="187">
        <f>VLOOKUP($A197,'LG&amp;E Provision'!$B$4:$E$79,Q$1,FALSE)/4*1000</f>
        <v>119462.50577943557</v>
      </c>
      <c r="T197" s="187">
        <f t="shared" si="374"/>
        <v>119462.50577943557</v>
      </c>
      <c r="W197" s="187">
        <f t="shared" si="375"/>
        <v>119462.50577943557</v>
      </c>
      <c r="Z197" s="187">
        <f t="shared" si="376"/>
        <v>119462.50577943557</v>
      </c>
      <c r="AD197" s="187">
        <f>VLOOKUP($A197,'LG&amp;E Provision'!$B$4:$E$79,AD$1,FALSE)/4*1000</f>
        <v>259923.89184718105</v>
      </c>
      <c r="AG197" s="187">
        <f t="shared" si="377"/>
        <v>259923.89184718105</v>
      </c>
      <c r="AJ197" s="187">
        <f t="shared" si="378"/>
        <v>259923.89184718105</v>
      </c>
      <c r="AM197" s="187">
        <f t="shared" si="379"/>
        <v>259923.89184718105</v>
      </c>
    </row>
    <row r="198" spans="1:39" x14ac:dyDescent="0.15">
      <c r="A198" s="39" t="s">
        <v>38</v>
      </c>
      <c r="G198" s="155"/>
      <c r="H198" s="187"/>
      <c r="I198" s="187"/>
      <c r="J198" s="187">
        <f>VLOOKUP($A198,'LG&amp;E Provision'!$B$4:$E$79,J$1,FALSE)/4*1000</f>
        <v>1095959.7579957149</v>
      </c>
      <c r="M198" s="155">
        <f t="shared" si="367"/>
        <v>1095959.7579957149</v>
      </c>
      <c r="Q198" s="187">
        <f>VLOOKUP($A198,'LG&amp;E Provision'!$B$4:$E$79,Q$1,FALSE)/4*1000</f>
        <v>786842.95407149941</v>
      </c>
      <c r="T198" s="187">
        <f t="shared" si="374"/>
        <v>786842.95407149941</v>
      </c>
      <c r="W198" s="187">
        <f t="shared" si="375"/>
        <v>786842.95407149941</v>
      </c>
      <c r="Z198" s="187">
        <f t="shared" si="376"/>
        <v>786842.95407149941</v>
      </c>
      <c r="AD198" s="187">
        <f>VLOOKUP($A198,'LG&amp;E Provision'!$B$4:$E$79,AD$1,FALSE)/4*1000</f>
        <v>632284.55311153422</v>
      </c>
      <c r="AG198" s="187">
        <f t="shared" si="377"/>
        <v>632284.55311153422</v>
      </c>
      <c r="AJ198" s="187">
        <f t="shared" si="378"/>
        <v>632284.55311153422</v>
      </c>
      <c r="AM198" s="187">
        <f t="shared" si="379"/>
        <v>632284.55311153422</v>
      </c>
    </row>
    <row r="199" spans="1:39" x14ac:dyDescent="0.15">
      <c r="A199" s="39" t="s">
        <v>80</v>
      </c>
      <c r="G199" s="155"/>
      <c r="H199" s="187"/>
      <c r="I199" s="187"/>
      <c r="J199" s="187">
        <f>VLOOKUP($A199,'LG&amp;E Provision'!$B$4:$E$79,J$1,FALSE)/4*1000</f>
        <v>-7500000</v>
      </c>
      <c r="M199" s="155">
        <f t="shared" si="367"/>
        <v>-7500000</v>
      </c>
      <c r="Q199" s="187">
        <f>VLOOKUP($A199,'LG&amp;E Provision'!$B$4:$E$79,Q$1,FALSE)/4*1000</f>
        <v>-7500000</v>
      </c>
      <c r="T199" s="187">
        <f t="shared" si="374"/>
        <v>-7500000</v>
      </c>
      <c r="W199" s="187">
        <f t="shared" si="375"/>
        <v>-7500000</v>
      </c>
      <c r="Z199" s="187">
        <f t="shared" si="376"/>
        <v>-7500000</v>
      </c>
      <c r="AD199" s="187">
        <f>VLOOKUP($A199,'LG&amp;E Provision'!$B$4:$E$79,AD$1,FALSE)/4*1000</f>
        <v>-7500000</v>
      </c>
      <c r="AG199" s="187">
        <f t="shared" si="377"/>
        <v>-7500000</v>
      </c>
      <c r="AJ199" s="187">
        <f t="shared" si="378"/>
        <v>-7500000</v>
      </c>
      <c r="AM199" s="187">
        <f t="shared" si="379"/>
        <v>-7500000</v>
      </c>
    </row>
    <row r="200" spans="1:39" x14ac:dyDescent="0.15">
      <c r="A200" s="39" t="s">
        <v>627</v>
      </c>
      <c r="G200" s="155"/>
      <c r="H200" s="187"/>
      <c r="I200" s="187"/>
      <c r="J200" s="187">
        <f>VLOOKUP($A200,'LG&amp;E Provision'!$B$4:$E$79,J$1,FALSE)/4*1000</f>
        <v>408872.44691348413</v>
      </c>
      <c r="M200" s="155">
        <f t="shared" si="367"/>
        <v>408872.44691348413</v>
      </c>
      <c r="Q200" s="187">
        <f>VLOOKUP($A200,'LG&amp;E Provision'!$B$4:$E$79,Q$1,FALSE)/4*1000</f>
        <v>-938876.31792078307</v>
      </c>
      <c r="T200" s="187">
        <f t="shared" si="374"/>
        <v>-938876.31792078307</v>
      </c>
      <c r="W200" s="187">
        <f t="shared" si="375"/>
        <v>-938876.31792078307</v>
      </c>
      <c r="Z200" s="187">
        <f t="shared" si="376"/>
        <v>-938876.31792078307</v>
      </c>
      <c r="AD200" s="187">
        <f>VLOOKUP($A200,'LG&amp;E Provision'!$B$4:$E$79,AD$1,FALSE)/4*1000</f>
        <v>0</v>
      </c>
      <c r="AG200" s="187">
        <f t="shared" si="377"/>
        <v>0</v>
      </c>
      <c r="AJ200" s="187">
        <f t="shared" si="378"/>
        <v>0</v>
      </c>
      <c r="AM200" s="187">
        <f t="shared" si="379"/>
        <v>0</v>
      </c>
    </row>
    <row r="201" spans="1:39" x14ac:dyDescent="0.15">
      <c r="A201" s="39" t="s">
        <v>638</v>
      </c>
      <c r="G201" s="155"/>
      <c r="H201" s="187"/>
      <c r="I201" s="187"/>
      <c r="J201" s="187">
        <f>VLOOKUP($A201,'LG&amp;E Provision'!$B$4:$E$79,J$1,FALSE)/4*1000</f>
        <v>1207624.6391320711</v>
      </c>
      <c r="M201" s="155">
        <f t="shared" si="367"/>
        <v>1207624.6391320711</v>
      </c>
      <c r="Q201" s="187">
        <f>VLOOKUP($A201,'LG&amp;E Provision'!$B$4:$E$79,Q$1,FALSE)/4*1000</f>
        <v>-677620.76981492166</v>
      </c>
      <c r="T201" s="187">
        <f t="shared" si="374"/>
        <v>-677620.76981492166</v>
      </c>
      <c r="W201" s="187">
        <f t="shared" si="375"/>
        <v>-677620.76981492166</v>
      </c>
      <c r="Z201" s="187">
        <f t="shared" si="376"/>
        <v>-677620.76981492166</v>
      </c>
      <c r="AD201" s="187">
        <f>VLOOKUP($A201,'LG&amp;E Provision'!$B$4:$E$79,AD$1,FALSE)/4*1000</f>
        <v>0</v>
      </c>
      <c r="AG201" s="187">
        <f t="shared" si="377"/>
        <v>0</v>
      </c>
      <c r="AJ201" s="187">
        <f t="shared" si="378"/>
        <v>0</v>
      </c>
      <c r="AM201" s="187">
        <f t="shared" si="379"/>
        <v>0</v>
      </c>
    </row>
    <row r="202" spans="1:39" x14ac:dyDescent="0.15">
      <c r="A202" s="39" t="s">
        <v>1036</v>
      </c>
      <c r="G202" s="155"/>
      <c r="H202" s="187"/>
      <c r="I202" s="187"/>
      <c r="J202" s="187">
        <f>VLOOKUP($A202,'LG&amp;E Provision'!$B$4:$E$79,J$1,FALSE)/4*1000</f>
        <v>-827342.03662046883</v>
      </c>
      <c r="M202" s="155">
        <f t="shared" si="367"/>
        <v>-827342.03662046883</v>
      </c>
      <c r="Q202" s="187">
        <f>VLOOKUP($A202,'LG&amp;E Provision'!$B$4:$E$79,Q$1,FALSE)/4*1000</f>
        <v>-1826803.9097596072</v>
      </c>
      <c r="T202" s="187">
        <f t="shared" si="374"/>
        <v>-1826803.9097596072</v>
      </c>
      <c r="W202" s="187">
        <f t="shared" si="375"/>
        <v>-1826803.9097596072</v>
      </c>
      <c r="Z202" s="187">
        <f t="shared" si="376"/>
        <v>-1826803.9097596072</v>
      </c>
      <c r="AD202" s="187">
        <f>VLOOKUP($A202,'LG&amp;E Provision'!$B$4:$E$79,AD$1,FALSE)/4*1000</f>
        <v>763155.35619074083</v>
      </c>
      <c r="AG202" s="187">
        <f t="shared" si="377"/>
        <v>763155.35619074083</v>
      </c>
      <c r="AJ202" s="187">
        <f t="shared" si="378"/>
        <v>763155.35619074083</v>
      </c>
      <c r="AM202" s="187">
        <f t="shared" si="379"/>
        <v>763155.35619074083</v>
      </c>
    </row>
    <row r="203" spans="1:39" x14ac:dyDescent="0.15">
      <c r="A203" s="39" t="s">
        <v>622</v>
      </c>
      <c r="G203" s="155"/>
      <c r="H203" s="187"/>
      <c r="I203" s="187"/>
      <c r="J203" s="187">
        <f>VLOOKUP($A203,'LG&amp;E Provision'!$B$4:$E$79,J$1,FALSE)/4*1000</f>
        <v>0</v>
      </c>
      <c r="M203" s="155">
        <f t="shared" si="367"/>
        <v>0</v>
      </c>
      <c r="Q203" s="187">
        <f>VLOOKUP($A203,'LG&amp;E Provision'!$B$4:$E$79,Q$1,FALSE)/4*1000</f>
        <v>0</v>
      </c>
      <c r="T203" s="187">
        <f t="shared" si="374"/>
        <v>0</v>
      </c>
      <c r="W203" s="187">
        <f t="shared" si="375"/>
        <v>0</v>
      </c>
      <c r="Z203" s="187">
        <f t="shared" si="376"/>
        <v>0</v>
      </c>
      <c r="AD203" s="187">
        <f>VLOOKUP($A203,'LG&amp;E Provision'!$B$4:$E$79,AD$1,FALSE)/4*1000</f>
        <v>0</v>
      </c>
      <c r="AG203" s="187">
        <f t="shared" si="377"/>
        <v>0</v>
      </c>
      <c r="AJ203" s="187">
        <f t="shared" si="378"/>
        <v>0</v>
      </c>
      <c r="AM203" s="187">
        <f t="shared" si="379"/>
        <v>0</v>
      </c>
    </row>
    <row r="204" spans="1:39" x14ac:dyDescent="0.15">
      <c r="A204" s="39" t="s">
        <v>1028</v>
      </c>
      <c r="G204" s="155"/>
      <c r="H204" s="187"/>
      <c r="I204" s="187"/>
      <c r="J204" s="187">
        <f>VLOOKUP($A204,'LG&amp;E Provision'!$B$4:$E$79,J$1,FALSE)/4*1000</f>
        <v>-597618</v>
      </c>
      <c r="M204" s="155">
        <f t="shared" si="367"/>
        <v>-597618</v>
      </c>
      <c r="Q204" s="187">
        <f>VLOOKUP($A204,'LG&amp;E Provision'!$B$4:$E$79,Q$1,FALSE)/4*1000</f>
        <v>79682.399999999689</v>
      </c>
      <c r="T204" s="187">
        <f t="shared" si="374"/>
        <v>79682.399999999689</v>
      </c>
      <c r="W204" s="187">
        <f t="shared" si="375"/>
        <v>79682.399999999689</v>
      </c>
      <c r="Z204" s="187">
        <f t="shared" si="376"/>
        <v>79682.399999999689</v>
      </c>
      <c r="AD204" s="187">
        <f>VLOOKUP($A204,'LG&amp;E Provision'!$B$4:$E$79,AD$1,FALSE)/4*1000</f>
        <v>119523.60000000021</v>
      </c>
      <c r="AG204" s="187">
        <f t="shared" si="377"/>
        <v>119523.60000000021</v>
      </c>
      <c r="AJ204" s="187">
        <f t="shared" si="378"/>
        <v>119523.60000000021</v>
      </c>
      <c r="AM204" s="187">
        <f t="shared" si="379"/>
        <v>119523.60000000021</v>
      </c>
    </row>
    <row r="205" spans="1:39" x14ac:dyDescent="0.15">
      <c r="A205" s="39" t="s">
        <v>310</v>
      </c>
      <c r="G205" s="155"/>
      <c r="H205" s="187"/>
      <c r="I205" s="187"/>
      <c r="J205" s="187">
        <f>VLOOKUP($A205,'LG&amp;E Provision'!$B$4:$E$79,J$1,FALSE)/4*1000</f>
        <v>-2447725.8000000003</v>
      </c>
      <c r="M205" s="155">
        <f t="shared" si="367"/>
        <v>-2447725.8000000003</v>
      </c>
      <c r="Q205" s="187">
        <f>VLOOKUP($A205,'LG&amp;E Provision'!$B$4:$E$79,Q$1,FALSE)/4*1000</f>
        <v>-4869895.0700000012</v>
      </c>
      <c r="T205" s="187">
        <f t="shared" si="374"/>
        <v>-4869895.0700000012</v>
      </c>
      <c r="W205" s="187">
        <f t="shared" si="375"/>
        <v>-4869895.0700000012</v>
      </c>
      <c r="Z205" s="187">
        <f t="shared" si="376"/>
        <v>-4869895.0700000012</v>
      </c>
      <c r="AD205" s="187">
        <f>VLOOKUP($A205,'LG&amp;E Provision'!$B$4:$E$79,AD$1,FALSE)/4*1000</f>
        <v>-4636457.6349999998</v>
      </c>
      <c r="AG205" s="187">
        <f t="shared" si="377"/>
        <v>-4636457.6349999998</v>
      </c>
      <c r="AJ205" s="187">
        <f t="shared" si="378"/>
        <v>-4636457.6349999998</v>
      </c>
      <c r="AM205" s="187">
        <f t="shared" si="379"/>
        <v>-4636457.6349999998</v>
      </c>
    </row>
    <row r="206" spans="1:39" x14ac:dyDescent="0.15">
      <c r="A206" s="39" t="s">
        <v>311</v>
      </c>
      <c r="G206" s="155"/>
      <c r="H206" s="187"/>
      <c r="I206" s="187"/>
      <c r="J206" s="187">
        <f>VLOOKUP($A206,'LG&amp;E Provision'!$B$4:$E$79,J$1,FALSE)/4*1000</f>
        <v>141123.0399887473</v>
      </c>
      <c r="M206" s="155">
        <f t="shared" si="367"/>
        <v>141123.0399887473</v>
      </c>
      <c r="Q206" s="187">
        <f>VLOOKUP($A206,'LG&amp;E Provision'!$B$4:$E$79,Q$1,FALSE)/4*1000</f>
        <v>314591.37407051562</v>
      </c>
      <c r="T206" s="187">
        <f t="shared" si="374"/>
        <v>314591.37407051562</v>
      </c>
      <c r="W206" s="187">
        <f t="shared" si="375"/>
        <v>314591.37407051562</v>
      </c>
      <c r="Z206" s="187">
        <f t="shared" si="376"/>
        <v>314591.37407051562</v>
      </c>
      <c r="AD206" s="187">
        <f>VLOOKUP($A206,'LG&amp;E Provision'!$B$4:$E$79,AD$1,FALSE)/4*1000</f>
        <v>534513.12708894326</v>
      </c>
      <c r="AG206" s="187">
        <f t="shared" si="377"/>
        <v>534513.12708894326</v>
      </c>
      <c r="AJ206" s="187">
        <f t="shared" si="378"/>
        <v>534513.12708894326</v>
      </c>
      <c r="AM206" s="187">
        <f t="shared" si="379"/>
        <v>534513.12708894326</v>
      </c>
    </row>
    <row r="207" spans="1:39" x14ac:dyDescent="0.15">
      <c r="A207" s="39" t="s">
        <v>43</v>
      </c>
      <c r="G207" s="155"/>
      <c r="H207" s="187"/>
      <c r="I207" s="187"/>
      <c r="J207" s="187">
        <f>-107869837/4*3</f>
        <v>-80902377.75</v>
      </c>
      <c r="M207" s="155">
        <f>-107869837-J207</f>
        <v>-26967459.25</v>
      </c>
      <c r="Q207" s="187">
        <f>-124734951.53/4</f>
        <v>-31183737.8825</v>
      </c>
      <c r="T207" s="187">
        <f t="shared" si="374"/>
        <v>-31183737.8825</v>
      </c>
      <c r="W207" s="187">
        <f t="shared" si="375"/>
        <v>-31183737.8825</v>
      </c>
      <c r="Z207" s="187">
        <f t="shared" si="376"/>
        <v>-31183737.8825</v>
      </c>
      <c r="AD207" s="187">
        <v>0</v>
      </c>
      <c r="AG207" s="187">
        <f t="shared" si="377"/>
        <v>0</v>
      </c>
      <c r="AJ207" s="187">
        <f t="shared" si="378"/>
        <v>0</v>
      </c>
      <c r="AM207" s="187">
        <f t="shared" si="379"/>
        <v>0</v>
      </c>
    </row>
    <row r="208" spans="1:39" x14ac:dyDescent="0.15">
      <c r="A208" s="39" t="s">
        <v>44</v>
      </c>
      <c r="G208" s="155"/>
      <c r="H208" s="187"/>
      <c r="I208" s="187"/>
      <c r="J208" s="187">
        <f>VLOOKUP($A208,'LG&amp;E Provision'!$B$4:$E$79,J$1,FALSE)/4*1000</f>
        <v>49307213.939286336</v>
      </c>
      <c r="M208" s="155">
        <f t="shared" si="367"/>
        <v>49307213.939286336</v>
      </c>
      <c r="Q208" s="187">
        <f>VLOOKUP($A208,'LG&amp;E Provision'!$B$4:$E$79,Q$1,FALSE)/4*1000</f>
        <v>60846712.949403346</v>
      </c>
      <c r="T208" s="187">
        <f t="shared" si="374"/>
        <v>60846712.949403346</v>
      </c>
      <c r="W208" s="187">
        <f t="shared" si="375"/>
        <v>60846712.949403346</v>
      </c>
      <c r="Z208" s="187">
        <f t="shared" si="376"/>
        <v>60846712.949403346</v>
      </c>
      <c r="AD208" s="187">
        <f>VLOOKUP($A208,'LG&amp;E Provision'!$B$4:$E$79,AD$1,FALSE)/4*1000</f>
        <v>67578622.878713056</v>
      </c>
      <c r="AG208" s="187">
        <f t="shared" si="377"/>
        <v>67578622.878713056</v>
      </c>
      <c r="AJ208" s="187">
        <f t="shared" si="378"/>
        <v>67578622.878713056</v>
      </c>
      <c r="AM208" s="187">
        <f t="shared" si="379"/>
        <v>67578622.878713056</v>
      </c>
    </row>
    <row r="209" spans="1:41" x14ac:dyDescent="0.15">
      <c r="A209" s="39" t="s">
        <v>625</v>
      </c>
      <c r="G209" s="155"/>
      <c r="H209" s="187"/>
      <c r="I209" s="187"/>
      <c r="J209" s="187">
        <f>VLOOKUP($A209,'LG&amp;E Provision'!$B$4:$E$79,J$1,FALSE)/4*1000</f>
        <v>520024.53749999998</v>
      </c>
      <c r="M209" s="155">
        <f t="shared" si="367"/>
        <v>520024.53749999998</v>
      </c>
      <c r="Q209" s="187">
        <f>VLOOKUP($A209,'LG&amp;E Provision'!$B$4:$E$79,Q$1,FALSE)/4*1000</f>
        <v>-297232.14750000002</v>
      </c>
      <c r="T209" s="187">
        <f t="shared" si="374"/>
        <v>-297232.14750000002</v>
      </c>
      <c r="W209" s="187">
        <f t="shared" si="375"/>
        <v>-297232.14750000002</v>
      </c>
      <c r="Z209" s="187">
        <f t="shared" si="376"/>
        <v>-297232.14750000002</v>
      </c>
      <c r="AD209" s="187">
        <f>VLOOKUP($A209,'LG&amp;E Provision'!$B$4:$E$79,AD$1,FALSE)/4*1000</f>
        <v>911538.74750000006</v>
      </c>
      <c r="AG209" s="187">
        <f t="shared" si="377"/>
        <v>911538.74750000006</v>
      </c>
      <c r="AJ209" s="187">
        <f t="shared" si="378"/>
        <v>911538.74750000006</v>
      </c>
      <c r="AM209" s="187">
        <f t="shared" si="379"/>
        <v>911538.74750000006</v>
      </c>
    </row>
    <row r="210" spans="1:41" x14ac:dyDescent="0.15">
      <c r="A210" s="39" t="s">
        <v>47</v>
      </c>
      <c r="G210" s="155"/>
      <c r="H210" s="187"/>
      <c r="I210" s="187"/>
      <c r="J210" s="187">
        <f>VLOOKUP($A210,'LG&amp;E Provision'!$B$4:$E$79,J$1,FALSE)/4*1000</f>
        <v>3000000</v>
      </c>
      <c r="M210" s="155">
        <f t="shared" si="367"/>
        <v>3000000</v>
      </c>
      <c r="Q210" s="187">
        <f>VLOOKUP($A210,'LG&amp;E Provision'!$B$4:$E$79,Q$1,FALSE)/4*1000</f>
        <v>3000000</v>
      </c>
      <c r="T210" s="187">
        <f t="shared" si="374"/>
        <v>3000000</v>
      </c>
      <c r="W210" s="187">
        <f t="shared" si="375"/>
        <v>3000000</v>
      </c>
      <c r="Z210" s="187">
        <f t="shared" si="376"/>
        <v>3000000</v>
      </c>
      <c r="AD210" s="187">
        <f>VLOOKUP($A210,'LG&amp;E Provision'!$B$4:$E$79,AD$1,FALSE)/4*1000</f>
        <v>3000000</v>
      </c>
      <c r="AG210" s="187">
        <f t="shared" si="377"/>
        <v>3000000</v>
      </c>
      <c r="AJ210" s="187">
        <f t="shared" si="378"/>
        <v>3000000</v>
      </c>
      <c r="AM210" s="187">
        <f t="shared" si="379"/>
        <v>3000000</v>
      </c>
    </row>
    <row r="211" spans="1:41" x14ac:dyDescent="0.15">
      <c r="A211" s="39" t="s">
        <v>51</v>
      </c>
      <c r="G211" s="155"/>
      <c r="H211" s="187"/>
      <c r="I211" s="187"/>
      <c r="J211" s="187">
        <f>VLOOKUP($A211,'LG&amp;E Provision'!$B$4:$E$79,J$1,FALSE)/4*1000</f>
        <v>-8717440.8524999991</v>
      </c>
      <c r="M211" s="155">
        <f t="shared" si="367"/>
        <v>-8717440.8524999991</v>
      </c>
      <c r="Q211" s="187">
        <f>VLOOKUP($A211,'LG&amp;E Provision'!$B$4:$E$79,Q$1,FALSE)/4*1000</f>
        <v>-9517634.5350000001</v>
      </c>
      <c r="T211" s="187">
        <f t="shared" si="374"/>
        <v>-9517634.5350000001</v>
      </c>
      <c r="W211" s="187">
        <f t="shared" si="375"/>
        <v>-9517634.5350000001</v>
      </c>
      <c r="Z211" s="187">
        <f t="shared" si="376"/>
        <v>-9517634.5350000001</v>
      </c>
      <c r="AD211" s="187">
        <f>VLOOKUP($A211,'LG&amp;E Provision'!$B$4:$E$79,AD$1,FALSE)/4*1000</f>
        <v>-6337117.0575000001</v>
      </c>
      <c r="AG211" s="187">
        <f t="shared" si="377"/>
        <v>-6337117.0575000001</v>
      </c>
      <c r="AJ211" s="187">
        <f t="shared" si="378"/>
        <v>-6337117.0575000001</v>
      </c>
      <c r="AM211" s="187">
        <f t="shared" si="379"/>
        <v>-6337117.0575000001</v>
      </c>
    </row>
    <row r="212" spans="1:41" x14ac:dyDescent="0.15">
      <c r="A212" s="39" t="s">
        <v>66</v>
      </c>
      <c r="G212" s="155"/>
      <c r="H212" s="187"/>
      <c r="I212" s="187"/>
      <c r="J212" s="187">
        <f>VLOOKUP($A212,'LG&amp;E Provision'!$B$4:$E$79,J$1,FALSE)/4*1000</f>
        <v>2638392.7343338542</v>
      </c>
      <c r="M212" s="155">
        <f t="shared" si="367"/>
        <v>2638392.7343338542</v>
      </c>
      <c r="Q212" s="187">
        <f>VLOOKUP($A212,'LG&amp;E Provision'!$B$4:$E$79,Q$1,FALSE)/4*1000</f>
        <v>2218291.7114093741</v>
      </c>
      <c r="T212" s="187">
        <f t="shared" si="374"/>
        <v>2218291.7114093741</v>
      </c>
      <c r="W212" s="187">
        <f t="shared" si="375"/>
        <v>2218291.7114093741</v>
      </c>
      <c r="Z212" s="187">
        <f t="shared" si="376"/>
        <v>2218291.7114093741</v>
      </c>
      <c r="AD212" s="187">
        <f>VLOOKUP($A212,'LG&amp;E Provision'!$B$4:$E$79,AD$1,FALSE)/4*1000</f>
        <v>1612130.8038026036</v>
      </c>
      <c r="AG212" s="187">
        <f t="shared" si="377"/>
        <v>1612130.8038026036</v>
      </c>
      <c r="AJ212" s="187">
        <f t="shared" si="378"/>
        <v>1612130.8038026036</v>
      </c>
      <c r="AM212" s="187">
        <f t="shared" si="379"/>
        <v>1612130.8038026036</v>
      </c>
    </row>
    <row r="213" spans="1:41" x14ac:dyDescent="0.15">
      <c r="A213" s="39" t="s">
        <v>78</v>
      </c>
      <c r="G213" s="155"/>
      <c r="H213" s="187"/>
      <c r="I213" s="187"/>
      <c r="J213" s="187">
        <f>VLOOKUP($A213,'LG&amp;E Provision'!$B$4:$E$79,J$1,FALSE)/4*1000-'UIGET-LGE'!D126/4*1000+'Income Tax Detail - Monthly'!J39*1000-J207</f>
        <v>-70463970.338172615</v>
      </c>
      <c r="M213" s="187">
        <f>VLOOKUP($A213,'LG&amp;E Provision'!$B$4:$E$79,J$1,FALSE)/4*1000-'UIGET-LGE'!D126/4*1000+'Income Tax Detail - Monthly'!M39*1000-M207</f>
        <v>-57489759.618172601</v>
      </c>
      <c r="Q213" s="187">
        <f>VLOOKUP($A213,'LG&amp;E Provision'!$B$4:$E$79,Q$1,FALSE)/4*1000+VLOOKUP($A207,'LG&amp;E Provision'!$B$4:$E$79,Q$1,FALSE)/4*1000-Q207</f>
        <v>-64241413.044829451</v>
      </c>
      <c r="T213" s="187">
        <f t="shared" si="374"/>
        <v>-64241413.044829451</v>
      </c>
      <c r="W213" s="187">
        <f t="shared" si="375"/>
        <v>-64241413.044829451</v>
      </c>
      <c r="Z213" s="187">
        <f t="shared" si="376"/>
        <v>-64241413.044829451</v>
      </c>
      <c r="AD213" s="187">
        <f>VLOOKUP($A213,'LG&amp;E Provision'!$B$4:$E$79,AD$1,FALSE)/4*1000+VLOOKUP($A207,'LG&amp;E Provision'!$B$4:$E$79,AD$1,FALSE)/4*1000</f>
        <v>-66984112.535219774</v>
      </c>
      <c r="AG213" s="187">
        <f t="shared" si="377"/>
        <v>-66984112.535219774</v>
      </c>
      <c r="AJ213" s="187">
        <f t="shared" si="378"/>
        <v>-66984112.535219774</v>
      </c>
      <c r="AM213" s="187">
        <f t="shared" si="379"/>
        <v>-66984112.535219774</v>
      </c>
    </row>
    <row r="214" spans="1:41" x14ac:dyDescent="0.15">
      <c r="A214" s="39" t="s">
        <v>318</v>
      </c>
      <c r="G214" s="155"/>
      <c r="H214" s="156"/>
      <c r="I214" s="156"/>
      <c r="J214" s="156">
        <f>SUM('Income Tax Detail - Monthly'!J44:J45)*1000</f>
        <v>-17374145.3480931</v>
      </c>
      <c r="K214" s="156"/>
      <c r="L214" s="156"/>
      <c r="M214" s="156">
        <f>SUM('Income Tax Detail - Monthly'!M44:M45)*1000</f>
        <v>-29185897.7825654</v>
      </c>
      <c r="N214" s="156"/>
      <c r="O214" s="156"/>
      <c r="P214" s="156"/>
      <c r="Q214" s="156">
        <f>SUM('Income Tax Detail - Monthly'!Q44:Q45)*1000</f>
        <v>-8257060.8883001003</v>
      </c>
      <c r="R214" s="156"/>
      <c r="S214" s="156"/>
      <c r="T214" s="156">
        <f>SUM('Income Tax Detail - Monthly'!T44:T45)*1000</f>
        <v>-8257060.8881628793</v>
      </c>
      <c r="U214" s="156"/>
      <c r="V214" s="156"/>
      <c r="W214" s="156">
        <f>SUM('Income Tax Detail - Monthly'!W44:W45)*1000</f>
        <v>-8257060.8877635291</v>
      </c>
      <c r="X214" s="156"/>
      <c r="Y214" s="156"/>
      <c r="Z214" s="156">
        <f>SUM('Income Tax Detail - Monthly'!Z44:Z45)*1000</f>
        <v>-8257060.8873280594</v>
      </c>
      <c r="AA214" s="156"/>
      <c r="AB214" s="156"/>
      <c r="AC214" s="156"/>
      <c r="AD214" s="156">
        <f>SUM('Income Tax Detail - Monthly'!AD44:AD45)*1000</f>
        <v>-1148815.5</v>
      </c>
      <c r="AE214" s="156"/>
      <c r="AF214" s="156"/>
      <c r="AG214" s="156">
        <f>SUM('Income Tax Detail - Monthly'!AG44:AG45)*1000</f>
        <v>-1148815.5</v>
      </c>
      <c r="AH214" s="156"/>
      <c r="AI214" s="156"/>
      <c r="AJ214" s="156">
        <f>SUM('Income Tax Detail - Monthly'!AJ44:AJ45)*1000</f>
        <v>-1148815.5</v>
      </c>
      <c r="AK214" s="156"/>
      <c r="AL214" s="156"/>
      <c r="AM214" s="156">
        <f>SUM('Income Tax Detail - Monthly'!AM44:AM45)*1000</f>
        <v>-1148815.5</v>
      </c>
      <c r="AN214" s="156"/>
    </row>
    <row r="215" spans="1:41" x14ac:dyDescent="0.15">
      <c r="G215" s="155"/>
      <c r="H215" s="155">
        <f>SUM(H176:H214)</f>
        <v>0</v>
      </c>
      <c r="I215" s="155">
        <f>SUM(I176:I214)</f>
        <v>0</v>
      </c>
      <c r="J215" s="155">
        <f>SUM(J176:J214)</f>
        <v>-125244706.86891788</v>
      </c>
      <c r="K215" s="155">
        <f t="shared" ref="K215:AN215" si="380">SUM(K176:K214)</f>
        <v>0</v>
      </c>
      <c r="L215" s="155">
        <f t="shared" si="380"/>
        <v>0</v>
      </c>
      <c r="M215" s="155">
        <f t="shared" si="380"/>
        <v>-70147330.083390176</v>
      </c>
      <c r="N215" s="155">
        <f t="shared" si="380"/>
        <v>0</v>
      </c>
      <c r="O215" s="155">
        <f t="shared" si="380"/>
        <v>0</v>
      </c>
      <c r="P215" s="155">
        <f t="shared" si="380"/>
        <v>0</v>
      </c>
      <c r="Q215" s="155">
        <f t="shared" si="380"/>
        <v>-63267137.720687725</v>
      </c>
      <c r="R215" s="155">
        <f t="shared" si="380"/>
        <v>0</v>
      </c>
      <c r="S215" s="155">
        <f t="shared" si="380"/>
        <v>0</v>
      </c>
      <c r="T215" s="155">
        <f t="shared" si="380"/>
        <v>-63267137.720550507</v>
      </c>
      <c r="U215" s="155">
        <f t="shared" si="380"/>
        <v>0</v>
      </c>
      <c r="V215" s="155">
        <f t="shared" si="380"/>
        <v>0</v>
      </c>
      <c r="W215" s="155">
        <f t="shared" si="380"/>
        <v>-63267137.720151156</v>
      </c>
      <c r="X215" s="155">
        <f t="shared" si="380"/>
        <v>0</v>
      </c>
      <c r="Y215" s="155">
        <f t="shared" si="380"/>
        <v>0</v>
      </c>
      <c r="Z215" s="155">
        <f t="shared" si="380"/>
        <v>-63267137.719715685</v>
      </c>
      <c r="AA215" s="155">
        <f t="shared" si="380"/>
        <v>0</v>
      </c>
      <c r="AB215" s="155">
        <f t="shared" si="380"/>
        <v>0</v>
      </c>
      <c r="AC215" s="155">
        <f t="shared" si="380"/>
        <v>0</v>
      </c>
      <c r="AD215" s="155">
        <f t="shared" si="380"/>
        <v>-11609525.220178835</v>
      </c>
      <c r="AE215" s="155">
        <f t="shared" si="380"/>
        <v>0</v>
      </c>
      <c r="AF215" s="155">
        <f t="shared" si="380"/>
        <v>0</v>
      </c>
      <c r="AG215" s="155">
        <f t="shared" si="380"/>
        <v>-11609525.220178835</v>
      </c>
      <c r="AH215" s="155">
        <f t="shared" si="380"/>
        <v>0</v>
      </c>
      <c r="AI215" s="155">
        <f t="shared" si="380"/>
        <v>0</v>
      </c>
      <c r="AJ215" s="155">
        <f t="shared" si="380"/>
        <v>-11609525.220178835</v>
      </c>
      <c r="AK215" s="155">
        <f t="shared" si="380"/>
        <v>0</v>
      </c>
      <c r="AL215" s="155">
        <f t="shared" si="380"/>
        <v>0</v>
      </c>
      <c r="AM215" s="155">
        <f t="shared" si="380"/>
        <v>-11609525.220178835</v>
      </c>
      <c r="AN215" s="155">
        <f t="shared" si="380"/>
        <v>0</v>
      </c>
    </row>
    <row r="216" spans="1:41" x14ac:dyDescent="0.15">
      <c r="A216" s="39" t="s">
        <v>99</v>
      </c>
      <c r="G216" s="155"/>
      <c r="H216" s="156">
        <f t="shared" ref="H216:M216" si="381">-H269</f>
        <v>0</v>
      </c>
      <c r="I216" s="156">
        <f t="shared" si="381"/>
        <v>0</v>
      </c>
      <c r="J216" s="156">
        <f>-J269</f>
        <v>2163862.1277563721</v>
      </c>
      <c r="K216" s="156">
        <f t="shared" si="381"/>
        <v>0</v>
      </c>
      <c r="L216" s="156">
        <f t="shared" si="381"/>
        <v>0</v>
      </c>
      <c r="M216" s="156">
        <f t="shared" si="381"/>
        <v>2192796.6223766259</v>
      </c>
      <c r="N216" s="156">
        <f t="shared" ref="N216:AG216" si="382">-N269</f>
        <v>0</v>
      </c>
      <c r="O216" s="156">
        <f t="shared" si="382"/>
        <v>0</v>
      </c>
      <c r="P216" s="156">
        <f t="shared" si="382"/>
        <v>0</v>
      </c>
      <c r="Q216" s="156">
        <f t="shared" si="382"/>
        <v>2614048.188672225</v>
      </c>
      <c r="R216" s="156">
        <f t="shared" si="382"/>
        <v>0</v>
      </c>
      <c r="S216" s="156">
        <f t="shared" si="382"/>
        <v>0</v>
      </c>
      <c r="T216" s="156">
        <f t="shared" si="382"/>
        <v>2614048.188672225</v>
      </c>
      <c r="U216" s="156">
        <f t="shared" si="382"/>
        <v>0</v>
      </c>
      <c r="V216" s="156">
        <f t="shared" si="382"/>
        <v>0</v>
      </c>
      <c r="W216" s="156">
        <f t="shared" si="382"/>
        <v>2614048.188672225</v>
      </c>
      <c r="X216" s="156">
        <f t="shared" si="382"/>
        <v>0</v>
      </c>
      <c r="Y216" s="156">
        <f t="shared" si="382"/>
        <v>0</v>
      </c>
      <c r="Z216" s="156">
        <f t="shared" si="382"/>
        <v>2614048.188672225</v>
      </c>
      <c r="AA216" s="156">
        <f t="shared" si="382"/>
        <v>0</v>
      </c>
      <c r="AB216" s="156">
        <f t="shared" si="382"/>
        <v>0</v>
      </c>
      <c r="AC216" s="156">
        <f t="shared" si="382"/>
        <v>0</v>
      </c>
      <c r="AD216" s="156">
        <f t="shared" si="382"/>
        <v>1773542.4442317549</v>
      </c>
      <c r="AE216" s="156">
        <f t="shared" si="382"/>
        <v>0</v>
      </c>
      <c r="AF216" s="156">
        <f t="shared" si="382"/>
        <v>0</v>
      </c>
      <c r="AG216" s="156">
        <f t="shared" si="382"/>
        <v>1773542.4442317549</v>
      </c>
      <c r="AH216" s="156">
        <f t="shared" ref="AH216:AN216" si="383">-AH269</f>
        <v>0</v>
      </c>
      <c r="AI216" s="156">
        <f t="shared" si="383"/>
        <v>0</v>
      </c>
      <c r="AJ216" s="156">
        <f t="shared" si="383"/>
        <v>1773542.4442317549</v>
      </c>
      <c r="AK216" s="156">
        <f t="shared" si="383"/>
        <v>0</v>
      </c>
      <c r="AL216" s="156">
        <f t="shared" si="383"/>
        <v>0</v>
      </c>
      <c r="AM216" s="156">
        <f t="shared" si="383"/>
        <v>1773542.4442317549</v>
      </c>
      <c r="AN216" s="156">
        <f t="shared" si="383"/>
        <v>0</v>
      </c>
    </row>
    <row r="217" spans="1:41" x14ac:dyDescent="0.15">
      <c r="G217" s="155"/>
      <c r="H217" s="155">
        <f>SUM(H215:H216)</f>
        <v>0</v>
      </c>
      <c r="I217" s="155">
        <f>SUM(I215:I216)</f>
        <v>0</v>
      </c>
      <c r="J217" s="155">
        <f>SUM(J215:J216)</f>
        <v>-123080844.74116151</v>
      </c>
      <c r="K217" s="155">
        <f t="shared" ref="K217:AG217" si="384">SUM(K215:K216)</f>
        <v>0</v>
      </c>
      <c r="L217" s="155">
        <f t="shared" si="384"/>
        <v>0</v>
      </c>
      <c r="M217" s="155">
        <f t="shared" si="384"/>
        <v>-67954533.461013556</v>
      </c>
      <c r="N217" s="155">
        <f t="shared" si="384"/>
        <v>0</v>
      </c>
      <c r="O217" s="155">
        <f t="shared" si="384"/>
        <v>0</v>
      </c>
      <c r="P217" s="155">
        <f t="shared" si="384"/>
        <v>0</v>
      </c>
      <c r="Q217" s="155">
        <f t="shared" si="384"/>
        <v>-60653089.532015502</v>
      </c>
      <c r="R217" s="155">
        <f t="shared" si="384"/>
        <v>0</v>
      </c>
      <c r="S217" s="155">
        <f t="shared" si="384"/>
        <v>0</v>
      </c>
      <c r="T217" s="155">
        <f t="shared" si="384"/>
        <v>-60653089.531878285</v>
      </c>
      <c r="U217" s="155">
        <f t="shared" si="384"/>
        <v>0</v>
      </c>
      <c r="V217" s="155">
        <f t="shared" si="384"/>
        <v>0</v>
      </c>
      <c r="W217" s="155">
        <f t="shared" si="384"/>
        <v>-60653089.531478934</v>
      </c>
      <c r="X217" s="155">
        <f t="shared" si="384"/>
        <v>0</v>
      </c>
      <c r="Y217" s="155">
        <f t="shared" si="384"/>
        <v>0</v>
      </c>
      <c r="Z217" s="155">
        <f t="shared" si="384"/>
        <v>-60653089.531043462</v>
      </c>
      <c r="AA217" s="155">
        <f t="shared" si="384"/>
        <v>0</v>
      </c>
      <c r="AB217" s="155">
        <f t="shared" si="384"/>
        <v>0</v>
      </c>
      <c r="AC217" s="155">
        <f t="shared" si="384"/>
        <v>0</v>
      </c>
      <c r="AD217" s="155">
        <f t="shared" si="384"/>
        <v>-9835982.7759470809</v>
      </c>
      <c r="AE217" s="155">
        <f t="shared" si="384"/>
        <v>0</v>
      </c>
      <c r="AF217" s="155">
        <f t="shared" si="384"/>
        <v>0</v>
      </c>
      <c r="AG217" s="155">
        <f t="shared" si="384"/>
        <v>-9835982.7759470809</v>
      </c>
      <c r="AH217" s="155">
        <f t="shared" ref="AH217:AN217" si="385">SUM(AH215:AH216)</f>
        <v>0</v>
      </c>
      <c r="AI217" s="155">
        <f t="shared" si="385"/>
        <v>0</v>
      </c>
      <c r="AJ217" s="155">
        <f t="shared" si="385"/>
        <v>-9835982.7759470809</v>
      </c>
      <c r="AK217" s="155">
        <f t="shared" si="385"/>
        <v>0</v>
      </c>
      <c r="AL217" s="155">
        <f t="shared" si="385"/>
        <v>0</v>
      </c>
      <c r="AM217" s="155">
        <f t="shared" si="385"/>
        <v>-9835982.7759470809</v>
      </c>
      <c r="AN217" s="155">
        <f t="shared" si="385"/>
        <v>0</v>
      </c>
    </row>
    <row r="218" spans="1:41" x14ac:dyDescent="0.15">
      <c r="G218" s="155"/>
      <c r="H218" s="193">
        <v>0.21</v>
      </c>
      <c r="I218" s="193">
        <v>0.21</v>
      </c>
      <c r="J218" s="193">
        <v>0.21</v>
      </c>
      <c r="K218" s="193">
        <v>0.21</v>
      </c>
      <c r="L218" s="193">
        <v>0.21</v>
      </c>
      <c r="M218" s="193">
        <v>0.21</v>
      </c>
      <c r="N218" s="193">
        <v>0.21</v>
      </c>
      <c r="O218" s="193">
        <v>0.21</v>
      </c>
      <c r="P218" s="193">
        <v>0.21</v>
      </c>
      <c r="Q218" s="193">
        <v>0.21</v>
      </c>
      <c r="R218" s="193">
        <v>0.21</v>
      </c>
      <c r="S218" s="193">
        <v>0.21</v>
      </c>
      <c r="T218" s="193">
        <v>0.21</v>
      </c>
      <c r="U218" s="193">
        <v>0.21</v>
      </c>
      <c r="V218" s="193">
        <v>0.21</v>
      </c>
      <c r="W218" s="193">
        <v>0.21</v>
      </c>
      <c r="X218" s="193">
        <v>0.21</v>
      </c>
      <c r="Y218" s="193">
        <v>0.21</v>
      </c>
      <c r="Z218" s="193">
        <v>0.21</v>
      </c>
      <c r="AA218" s="193">
        <v>0.21</v>
      </c>
      <c r="AB218" s="193">
        <v>0.21</v>
      </c>
      <c r="AC218" s="193">
        <v>0.21</v>
      </c>
      <c r="AD218" s="193">
        <v>0.21</v>
      </c>
      <c r="AE218" s="193">
        <v>0.21</v>
      </c>
      <c r="AF218" s="193">
        <v>0.21</v>
      </c>
      <c r="AG218" s="193">
        <v>0.21</v>
      </c>
      <c r="AH218" s="193">
        <v>0.21</v>
      </c>
      <c r="AI218" s="193">
        <v>0.21</v>
      </c>
      <c r="AJ218" s="193">
        <v>0.21</v>
      </c>
      <c r="AK218" s="193">
        <v>0.21</v>
      </c>
      <c r="AL218" s="193">
        <v>0.21</v>
      </c>
      <c r="AM218" s="193">
        <v>0.21</v>
      </c>
      <c r="AN218" s="193">
        <v>0.21</v>
      </c>
      <c r="AO218" s="194"/>
    </row>
    <row r="219" spans="1:41" x14ac:dyDescent="0.15">
      <c r="G219" s="155"/>
      <c r="H219" s="155">
        <f>+H217*H218</f>
        <v>0</v>
      </c>
      <c r="I219" s="155">
        <f>+I217*I218</f>
        <v>0</v>
      </c>
      <c r="J219" s="155">
        <f>+J217*J218</f>
        <v>-25846977.395643916</v>
      </c>
      <c r="K219" s="155">
        <f t="shared" ref="K219:AG219" si="386">+K217*K218</f>
        <v>0</v>
      </c>
      <c r="L219" s="155">
        <f t="shared" si="386"/>
        <v>0</v>
      </c>
      <c r="M219" s="155">
        <f t="shared" si="386"/>
        <v>-14270452.026812846</v>
      </c>
      <c r="N219" s="155">
        <f t="shared" si="386"/>
        <v>0</v>
      </c>
      <c r="O219" s="155">
        <f t="shared" si="386"/>
        <v>0</v>
      </c>
      <c r="P219" s="155">
        <f t="shared" si="386"/>
        <v>0</v>
      </c>
      <c r="Q219" s="155">
        <f t="shared" si="386"/>
        <v>-12737148.801723255</v>
      </c>
      <c r="R219" s="155">
        <f t="shared" si="386"/>
        <v>0</v>
      </c>
      <c r="S219" s="155">
        <f t="shared" si="386"/>
        <v>0</v>
      </c>
      <c r="T219" s="155">
        <f t="shared" si="386"/>
        <v>-12737148.80169444</v>
      </c>
      <c r="U219" s="155">
        <f t="shared" si="386"/>
        <v>0</v>
      </c>
      <c r="V219" s="155">
        <f t="shared" si="386"/>
        <v>0</v>
      </c>
      <c r="W219" s="155">
        <f t="shared" si="386"/>
        <v>-12737148.801610576</v>
      </c>
      <c r="X219" s="155">
        <f t="shared" si="386"/>
        <v>0</v>
      </c>
      <c r="Y219" s="155">
        <f t="shared" si="386"/>
        <v>0</v>
      </c>
      <c r="Z219" s="155">
        <f t="shared" si="386"/>
        <v>-12737148.801519128</v>
      </c>
      <c r="AA219" s="155">
        <f t="shared" si="386"/>
        <v>0</v>
      </c>
      <c r="AB219" s="155">
        <f t="shared" si="386"/>
        <v>0</v>
      </c>
      <c r="AC219" s="155">
        <f t="shared" si="386"/>
        <v>0</v>
      </c>
      <c r="AD219" s="155">
        <f t="shared" si="386"/>
        <v>-2065556.3829488868</v>
      </c>
      <c r="AE219" s="155">
        <f t="shared" si="386"/>
        <v>0</v>
      </c>
      <c r="AF219" s="155">
        <f t="shared" si="386"/>
        <v>0</v>
      </c>
      <c r="AG219" s="155">
        <f t="shared" si="386"/>
        <v>-2065556.3829488868</v>
      </c>
      <c r="AH219" s="155">
        <f t="shared" ref="AH219:AN219" si="387">+AH217*AH218</f>
        <v>0</v>
      </c>
      <c r="AI219" s="155">
        <f t="shared" si="387"/>
        <v>0</v>
      </c>
      <c r="AJ219" s="155">
        <f t="shared" si="387"/>
        <v>-2065556.3829488868</v>
      </c>
      <c r="AK219" s="155">
        <f t="shared" si="387"/>
        <v>0</v>
      </c>
      <c r="AL219" s="155">
        <f t="shared" si="387"/>
        <v>0</v>
      </c>
      <c r="AM219" s="155">
        <f t="shared" si="387"/>
        <v>-2065556.3829488868</v>
      </c>
      <c r="AN219" s="155">
        <f t="shared" si="387"/>
        <v>0</v>
      </c>
    </row>
    <row r="220" spans="1:41" x14ac:dyDescent="0.15">
      <c r="A220" s="39" t="s">
        <v>267</v>
      </c>
      <c r="G220" s="155"/>
      <c r="H220" s="155"/>
      <c r="J220" s="155">
        <f>-'Income Tax Detail - Monthly'!J74*1000+6076</f>
        <v>589762.56626714009</v>
      </c>
      <c r="M220" s="155">
        <f>-'Income Tax Detail - Monthly'!M74*1000</f>
        <v>-560119.398511698</v>
      </c>
      <c r="Q220" s="155">
        <f>-'Income Tax Detail - Monthly'!Q74*1000</f>
        <v>948986.19618434098</v>
      </c>
      <c r="T220" s="155">
        <f>-'Income Tax Detail - Monthly'!T74*1000</f>
        <v>-838621.69190749701</v>
      </c>
      <c r="W220" s="155">
        <f>-'Income Tax Detail - Monthly'!W74*1000</f>
        <v>240051.282295276</v>
      </c>
      <c r="Z220" s="155">
        <f>-'Income Tax Detail - Monthly'!Z74*1000</f>
        <v>-350415.78657211998</v>
      </c>
      <c r="AD220" s="155">
        <f>-'Income Tax Detail - Monthly'!AD74*1000</f>
        <v>1260556.32320439</v>
      </c>
      <c r="AE220" s="155">
        <f>-'Income Tax Detail - Monthly'!AE74*1000+-'Income Tax Detail - Monthly'!AE75*1000</f>
        <v>-311570.12710095197</v>
      </c>
      <c r="AF220" s="155">
        <f>-'Income Tax Detail - Monthly'!AF74*1000+-'Income Tax Detail - Monthly'!AF75*1000</f>
        <v>311570.12710095197</v>
      </c>
      <c r="AG220" s="155">
        <f>-'Income Tax Detail - Monthly'!AG74*1000</f>
        <v>-996989.73706042301</v>
      </c>
      <c r="AJ220" s="155">
        <f>-'Income Tax Detail - Monthly'!AJ74*1000</f>
        <v>440111.135994073</v>
      </c>
      <c r="AM220" s="155">
        <f>-'Income Tax Detail - Monthly'!AM74*1000</f>
        <v>-703677.72213805409</v>
      </c>
    </row>
    <row r="221" spans="1:41" x14ac:dyDescent="0.15">
      <c r="A221" s="39" t="s">
        <v>496</v>
      </c>
      <c r="G221" s="155"/>
      <c r="H221" s="155"/>
      <c r="J221" s="155">
        <f>-'LG&amp;E Provision'!C108/4*1000+-'LG&amp;E Provision'!C110/4*1000</f>
        <v>205000</v>
      </c>
      <c r="M221" s="155">
        <f>-'LG&amp;E Provision'!C108/4*1000+-'LG&amp;E Provision'!C110/4*1000</f>
        <v>205000</v>
      </c>
      <c r="Q221" s="155">
        <f>-'LG&amp;E Provision'!D108/4*1000+-'LG&amp;E Provision'!D110/4*1000</f>
        <v>205000</v>
      </c>
      <c r="T221" s="155">
        <f>+Q221</f>
        <v>205000</v>
      </c>
      <c r="W221" s="155">
        <f>+T221</f>
        <v>205000</v>
      </c>
      <c r="Z221" s="155">
        <f>+W221</f>
        <v>205000</v>
      </c>
      <c r="AD221" s="155">
        <f>-'LG&amp;E Provision'!E108/4*1000+-'LG&amp;E Provision'!E110/4*1000</f>
        <v>-1670351.5</v>
      </c>
      <c r="AG221" s="155">
        <f>+AD221</f>
        <v>-1670351.5</v>
      </c>
      <c r="AJ221" s="155">
        <f>+AG221</f>
        <v>-1670351.5</v>
      </c>
      <c r="AM221" s="155">
        <f>+AJ221</f>
        <v>-1670351.5</v>
      </c>
    </row>
    <row r="222" spans="1:41" x14ac:dyDescent="0.15">
      <c r="A222" s="39" t="s">
        <v>100</v>
      </c>
      <c r="G222" s="155"/>
      <c r="H222" s="155"/>
      <c r="J222" s="155">
        <f>'Reg Asset and Liab 2018-2020'!K56</f>
        <v>1423936.0123510947</v>
      </c>
      <c r="M222" s="155">
        <f>'Reg Asset and Liab 2018-2020'!N56</f>
        <v>1906621.7050000001</v>
      </c>
      <c r="Q222" s="155">
        <f>'Reg Asset and Liab 2018-2020'!Q56</f>
        <v>2539191.174875001</v>
      </c>
      <c r="R222" s="155">
        <f>'Reg Asset and Liab 2018-2020'!R56</f>
        <v>841751.38895833364</v>
      </c>
      <c r="T222" s="155">
        <f>'Reg Asset and Liab 2018-2020'!T56</f>
        <v>1711482.7859166674</v>
      </c>
      <c r="W222" s="155">
        <f>'Reg Asset and Liab 2018-2020'!W56</f>
        <v>2560256.174875001</v>
      </c>
      <c r="Z222" s="155">
        <f>'Reg Asset and Liab 2018-2020'!Z56</f>
        <v>2560256.174875001</v>
      </c>
      <c r="AD222" s="155">
        <f>'Reg Asset and Liab 2018-2020'!AC56</f>
        <v>2748648.0835106391</v>
      </c>
      <c r="AE222" s="155">
        <f>'Reg Asset and Liab 2018-2020'!AD56</f>
        <v>903081.59308333357</v>
      </c>
      <c r="AG222" s="155">
        <f>'Reg Asset and Liab 2018-2020'!AF56</f>
        <v>1845566.490427305</v>
      </c>
      <c r="AJ222" s="155">
        <f>'Reg Asset and Liab 2018-2020'!AI56</f>
        <v>2748648.0835106391</v>
      </c>
      <c r="AM222" s="155">
        <f>'Reg Asset and Liab 2018-2020'!AL56</f>
        <v>2748648.0835106391</v>
      </c>
    </row>
    <row r="223" spans="1:41" x14ac:dyDescent="0.15">
      <c r="A223" s="39" t="s">
        <v>101</v>
      </c>
      <c r="G223" s="155"/>
      <c r="H223" s="156">
        <f>-'Income Tax Detail - Monthly'!H65*1000-2151.07675</f>
        <v>-11185.59913482997</v>
      </c>
      <c r="I223" s="156">
        <f>-'Income Tax Detail - Monthly'!I65*1000-2151.07675</f>
        <v>-11185.59913482997</v>
      </c>
      <c r="J223" s="156">
        <f>-'Income Tax Detail - Monthly'!J65*1000+2151.07675*2</f>
        <v>-8938.5088848299001</v>
      </c>
      <c r="K223" s="156">
        <f>-'Income Tax Detail - Monthly'!K65*1000-2151.07675</f>
        <v>-11185.59913482997</v>
      </c>
      <c r="L223" s="156">
        <f>-'Income Tax Detail - Monthly'!L65*1000-2151.07675</f>
        <v>-11185.59913482997</v>
      </c>
      <c r="M223" s="156">
        <f>-'Income Tax Detail - Monthly'!M65*1000+2151.07675*2</f>
        <v>-8938.5088848299001</v>
      </c>
      <c r="N223" s="156"/>
      <c r="O223" s="156">
        <f>-'Income Tax Detail - Monthly'!O65*1000-2151.07675</f>
        <v>-11185.59913482997</v>
      </c>
      <c r="P223" s="156">
        <f>-'Income Tax Detail - Monthly'!P65*1000-2151.07675</f>
        <v>-11185.59913482997</v>
      </c>
      <c r="Q223" s="156">
        <f>-'Income Tax Detail - Monthly'!Q65*1000+2151.07675*2</f>
        <v>-8938.5088848299001</v>
      </c>
      <c r="R223" s="156">
        <f>-'Income Tax Detail - Monthly'!R65*1000-2151.07675</f>
        <v>-11185.59913482997</v>
      </c>
      <c r="S223" s="156">
        <f>-'Income Tax Detail - Monthly'!S65*1000-2151.07675</f>
        <v>-11185.59913482997</v>
      </c>
      <c r="T223" s="156">
        <f>-'Income Tax Detail - Monthly'!T65*1000+2151.07675*2</f>
        <v>-8938.5088848299001</v>
      </c>
      <c r="U223" s="156">
        <f>-'Income Tax Detail - Monthly'!U65*1000-2151.07675</f>
        <v>-11185.59913482997</v>
      </c>
      <c r="V223" s="156">
        <f>-'Income Tax Detail - Monthly'!V65*1000-2151.07675</f>
        <v>-11185.59913482997</v>
      </c>
      <c r="W223" s="156">
        <f>+T223</f>
        <v>-8938.5088848299001</v>
      </c>
      <c r="X223" s="156">
        <f>-'Income Tax Detail - Monthly'!X65*1000-2151.07675</f>
        <v>-11185.59913482997</v>
      </c>
      <c r="Y223" s="156">
        <f>-'Income Tax Detail - Monthly'!Y65*1000-2151.07675</f>
        <v>-11185.59913482997</v>
      </c>
      <c r="Z223" s="156">
        <f>+W223</f>
        <v>-8938.5088848299001</v>
      </c>
      <c r="AA223" s="156"/>
      <c r="AB223" s="156">
        <f>-'Income Tax Detail - Monthly'!AB65*1000-2151.07675</f>
        <v>-11185.59913482997</v>
      </c>
      <c r="AC223" s="156">
        <f>-'Income Tax Detail - Monthly'!AC65*1000-2151.07675</f>
        <v>-11185.59913482997</v>
      </c>
      <c r="AD223" s="156">
        <f>-'Income Tax Detail - Monthly'!AD65*1000+2151.07675*2</f>
        <v>-8938.5088848299001</v>
      </c>
      <c r="AE223" s="156">
        <f>-'Income Tax Detail - Monthly'!AE65*1000-2151.07675</f>
        <v>-11185.59913482997</v>
      </c>
      <c r="AF223" s="156">
        <f>-'Income Tax Detail - Monthly'!AF65*1000-2151.07675</f>
        <v>-11185.59913482997</v>
      </c>
      <c r="AG223" s="156">
        <f>-'Income Tax Detail - Monthly'!AG65*1000+2151.07675*2</f>
        <v>-8938.5088848299001</v>
      </c>
      <c r="AH223" s="156">
        <f>-'Income Tax Detail - Monthly'!AH65*1000-2151.07675</f>
        <v>-11185.59913482997</v>
      </c>
      <c r="AI223" s="156">
        <f>-'Income Tax Detail - Monthly'!AI65*1000-2151.07675</f>
        <v>-11185.59913482997</v>
      </c>
      <c r="AJ223" s="156">
        <f>-'Income Tax Detail - Monthly'!AJ65*1000+2151.07675*2</f>
        <v>-8938.5088848299001</v>
      </c>
      <c r="AK223" s="156">
        <f>-'Income Tax Detail - Monthly'!AK65*1000-2151.07675</f>
        <v>-11185.59913482997</v>
      </c>
      <c r="AL223" s="156">
        <f>-'Income Tax Detail - Monthly'!AL65*1000-2151.07675</f>
        <v>-11185.59913482997</v>
      </c>
      <c r="AM223" s="156">
        <f>-'Income Tax Detail - Monthly'!AM65*1000+2151.07675*2</f>
        <v>-8938.5088848299001</v>
      </c>
      <c r="AN223" s="156"/>
    </row>
    <row r="224" spans="1:41" x14ac:dyDescent="0.15">
      <c r="G224" s="155"/>
      <c r="H224" s="155">
        <f>SUM(H219:H223)</f>
        <v>-11185.59913482997</v>
      </c>
      <c r="I224" s="155">
        <f>SUM(I219:I223)</f>
        <v>-11185.59913482997</v>
      </c>
      <c r="J224" s="155">
        <f>SUM(J219:J223)</f>
        <v>-23637217.325910509</v>
      </c>
      <c r="K224" s="155">
        <f t="shared" ref="K224:AN224" si="388">SUM(K219:K223)</f>
        <v>-11185.59913482997</v>
      </c>
      <c r="L224" s="155">
        <f t="shared" si="388"/>
        <v>-11185.59913482997</v>
      </c>
      <c r="M224" s="155">
        <f t="shared" si="388"/>
        <v>-12727888.229209375</v>
      </c>
      <c r="N224" s="155">
        <f t="shared" si="388"/>
        <v>0</v>
      </c>
      <c r="O224" s="155">
        <f t="shared" si="388"/>
        <v>-11185.59913482997</v>
      </c>
      <c r="P224" s="155">
        <f t="shared" si="388"/>
        <v>-11185.59913482997</v>
      </c>
      <c r="Q224" s="155">
        <f t="shared" si="388"/>
        <v>-9052909.9395487439</v>
      </c>
      <c r="R224" s="155">
        <f t="shared" si="388"/>
        <v>830565.7898235037</v>
      </c>
      <c r="S224" s="155">
        <f t="shared" si="388"/>
        <v>-11185.59913482997</v>
      </c>
      <c r="T224" s="155">
        <f t="shared" si="388"/>
        <v>-11668226.2165701</v>
      </c>
      <c r="U224" s="155">
        <f t="shared" si="388"/>
        <v>-11185.59913482997</v>
      </c>
      <c r="V224" s="155">
        <f t="shared" si="388"/>
        <v>-11185.59913482997</v>
      </c>
      <c r="W224" s="155">
        <f t="shared" si="388"/>
        <v>-9740779.8533251304</v>
      </c>
      <c r="X224" s="155">
        <f t="shared" si="388"/>
        <v>-11185.59913482997</v>
      </c>
      <c r="Y224" s="155">
        <f t="shared" si="388"/>
        <v>-11185.59913482997</v>
      </c>
      <c r="Z224" s="155">
        <f t="shared" si="388"/>
        <v>-10331246.922101077</v>
      </c>
      <c r="AA224" s="155">
        <f t="shared" si="388"/>
        <v>0</v>
      </c>
      <c r="AB224" s="155">
        <f t="shared" si="388"/>
        <v>-11185.59913482997</v>
      </c>
      <c r="AC224" s="155">
        <f t="shared" si="388"/>
        <v>-11185.59913482997</v>
      </c>
      <c r="AD224" s="155">
        <f t="shared" si="388"/>
        <v>264358.01488131244</v>
      </c>
      <c r="AE224" s="155">
        <f t="shared" si="388"/>
        <v>580325.86684755166</v>
      </c>
      <c r="AF224" s="155">
        <f t="shared" si="388"/>
        <v>300384.52796612203</v>
      </c>
      <c r="AG224" s="155">
        <f t="shared" si="388"/>
        <v>-2896269.6384668346</v>
      </c>
      <c r="AH224" s="155">
        <f t="shared" si="388"/>
        <v>-11185.59913482997</v>
      </c>
      <c r="AI224" s="155">
        <f t="shared" si="388"/>
        <v>-11185.59913482997</v>
      </c>
      <c r="AJ224" s="155">
        <f t="shared" si="388"/>
        <v>-556087.17232900439</v>
      </c>
      <c r="AK224" s="155">
        <f t="shared" si="388"/>
        <v>-11185.59913482997</v>
      </c>
      <c r="AL224" s="155">
        <f t="shared" si="388"/>
        <v>-11185.59913482997</v>
      </c>
      <c r="AM224" s="155">
        <f t="shared" si="388"/>
        <v>-1699876.0304611321</v>
      </c>
      <c r="AN224" s="155">
        <f t="shared" si="388"/>
        <v>0</v>
      </c>
    </row>
    <row r="225" spans="1:40" x14ac:dyDescent="0.15">
      <c r="G225" s="155"/>
      <c r="H225" s="155"/>
    </row>
    <row r="226" spans="1:40" x14ac:dyDescent="0.15">
      <c r="A226" s="39" t="s">
        <v>58</v>
      </c>
      <c r="G226" s="155"/>
      <c r="H226" s="187">
        <f t="shared" ref="H226:J249" si="389">+H176</f>
        <v>0</v>
      </c>
      <c r="I226" s="187">
        <f t="shared" si="389"/>
        <v>0</v>
      </c>
      <c r="J226" s="187">
        <f t="shared" si="389"/>
        <v>3669551.4145359984</v>
      </c>
      <c r="K226" s="187">
        <f t="shared" ref="K226:AN226" si="390">+K176</f>
        <v>0</v>
      </c>
      <c r="L226" s="187">
        <f t="shared" si="390"/>
        <v>0</v>
      </c>
      <c r="M226" s="187">
        <f t="shared" si="390"/>
        <v>3669551.4145359984</v>
      </c>
      <c r="N226" s="187">
        <f t="shared" si="390"/>
        <v>0</v>
      </c>
      <c r="O226" s="187">
        <f t="shared" si="390"/>
        <v>0</v>
      </c>
      <c r="P226" s="187">
        <f t="shared" si="390"/>
        <v>0</v>
      </c>
      <c r="Q226" s="187">
        <f t="shared" si="390"/>
        <v>-1303328.5243455623</v>
      </c>
      <c r="R226" s="187">
        <f t="shared" si="390"/>
        <v>0</v>
      </c>
      <c r="S226" s="187">
        <f t="shared" si="390"/>
        <v>0</v>
      </c>
      <c r="T226" s="187">
        <f t="shared" si="390"/>
        <v>-1303328.5243455623</v>
      </c>
      <c r="U226" s="187">
        <f t="shared" si="390"/>
        <v>0</v>
      </c>
      <c r="V226" s="187">
        <f t="shared" si="390"/>
        <v>0</v>
      </c>
      <c r="W226" s="187">
        <f t="shared" si="390"/>
        <v>-1303328.5243455623</v>
      </c>
      <c r="X226" s="187">
        <f t="shared" si="390"/>
        <v>0</v>
      </c>
      <c r="Y226" s="187">
        <f t="shared" si="390"/>
        <v>0</v>
      </c>
      <c r="Z226" s="187">
        <f t="shared" si="390"/>
        <v>-1303328.5243455623</v>
      </c>
      <c r="AA226" s="187">
        <f t="shared" si="390"/>
        <v>0</v>
      </c>
      <c r="AB226" s="187">
        <f t="shared" si="390"/>
        <v>0</v>
      </c>
      <c r="AC226" s="187">
        <f t="shared" si="390"/>
        <v>0</v>
      </c>
      <c r="AD226" s="187">
        <f t="shared" si="390"/>
        <v>-61325.195435006208</v>
      </c>
      <c r="AE226" s="187">
        <f t="shared" si="390"/>
        <v>0</v>
      </c>
      <c r="AF226" s="187">
        <f t="shared" si="390"/>
        <v>0</v>
      </c>
      <c r="AG226" s="187">
        <f t="shared" si="390"/>
        <v>-61325.195435006208</v>
      </c>
      <c r="AH226" s="187">
        <f t="shared" si="390"/>
        <v>0</v>
      </c>
      <c r="AI226" s="187">
        <f t="shared" si="390"/>
        <v>0</v>
      </c>
      <c r="AJ226" s="187">
        <f t="shared" si="390"/>
        <v>-61325.195435006208</v>
      </c>
      <c r="AK226" s="187">
        <f t="shared" si="390"/>
        <v>0</v>
      </c>
      <c r="AL226" s="187">
        <f t="shared" si="390"/>
        <v>0</v>
      </c>
      <c r="AM226" s="187">
        <f t="shared" si="390"/>
        <v>-61325.195435006208</v>
      </c>
      <c r="AN226" s="187">
        <f t="shared" si="390"/>
        <v>0</v>
      </c>
    </row>
    <row r="227" spans="1:40" x14ac:dyDescent="0.15">
      <c r="A227" s="39" t="s">
        <v>90</v>
      </c>
      <c r="G227" s="155"/>
      <c r="H227" s="187">
        <f t="shared" si="389"/>
        <v>0</v>
      </c>
      <c r="I227" s="187">
        <f t="shared" si="389"/>
        <v>0</v>
      </c>
      <c r="J227" s="187">
        <f t="shared" si="389"/>
        <v>170673.31749999983</v>
      </c>
      <c r="K227" s="187">
        <f t="shared" ref="K227:AN227" si="391">+K177</f>
        <v>0</v>
      </c>
      <c r="L227" s="187">
        <f t="shared" si="391"/>
        <v>0</v>
      </c>
      <c r="M227" s="187">
        <f t="shared" si="391"/>
        <v>170673.31749999983</v>
      </c>
      <c r="N227" s="187">
        <f t="shared" si="391"/>
        <v>0</v>
      </c>
      <c r="O227" s="187">
        <f t="shared" si="391"/>
        <v>0</v>
      </c>
      <c r="P227" s="187">
        <f t="shared" si="391"/>
        <v>0</v>
      </c>
      <c r="Q227" s="187">
        <f t="shared" si="391"/>
        <v>779748.08999999973</v>
      </c>
      <c r="R227" s="187">
        <f t="shared" si="391"/>
        <v>0</v>
      </c>
      <c r="S227" s="187">
        <f t="shared" si="391"/>
        <v>0</v>
      </c>
      <c r="T227" s="187">
        <f t="shared" si="391"/>
        <v>779748.08999999973</v>
      </c>
      <c r="U227" s="187">
        <f t="shared" si="391"/>
        <v>0</v>
      </c>
      <c r="V227" s="187">
        <f t="shared" si="391"/>
        <v>0</v>
      </c>
      <c r="W227" s="187">
        <f t="shared" si="391"/>
        <v>779748.08999999973</v>
      </c>
      <c r="X227" s="187">
        <f t="shared" si="391"/>
        <v>0</v>
      </c>
      <c r="Y227" s="187">
        <f t="shared" si="391"/>
        <v>0</v>
      </c>
      <c r="Z227" s="187">
        <f t="shared" si="391"/>
        <v>779748.08999999973</v>
      </c>
      <c r="AA227" s="187">
        <f t="shared" si="391"/>
        <v>0</v>
      </c>
      <c r="AB227" s="187">
        <f t="shared" si="391"/>
        <v>0</v>
      </c>
      <c r="AC227" s="187">
        <f t="shared" si="391"/>
        <v>0</v>
      </c>
      <c r="AD227" s="187">
        <f t="shared" si="391"/>
        <v>0</v>
      </c>
      <c r="AE227" s="187">
        <f t="shared" si="391"/>
        <v>0</v>
      </c>
      <c r="AF227" s="187">
        <f t="shared" si="391"/>
        <v>0</v>
      </c>
      <c r="AG227" s="187">
        <f t="shared" si="391"/>
        <v>0</v>
      </c>
      <c r="AH227" s="187">
        <f t="shared" si="391"/>
        <v>0</v>
      </c>
      <c r="AI227" s="187">
        <f t="shared" si="391"/>
        <v>0</v>
      </c>
      <c r="AJ227" s="187">
        <f t="shared" si="391"/>
        <v>0</v>
      </c>
      <c r="AK227" s="187">
        <f t="shared" si="391"/>
        <v>0</v>
      </c>
      <c r="AL227" s="187">
        <f t="shared" si="391"/>
        <v>0</v>
      </c>
      <c r="AM227" s="187">
        <f t="shared" si="391"/>
        <v>0</v>
      </c>
      <c r="AN227" s="187">
        <f t="shared" si="391"/>
        <v>0</v>
      </c>
    </row>
    <row r="228" spans="1:40" x14ac:dyDescent="0.15">
      <c r="A228" s="39" t="s">
        <v>39</v>
      </c>
      <c r="G228" s="155"/>
      <c r="H228" s="187">
        <f t="shared" si="389"/>
        <v>0</v>
      </c>
      <c r="I228" s="187">
        <f t="shared" si="389"/>
        <v>0</v>
      </c>
      <c r="J228" s="187">
        <f>+J178</f>
        <v>201303.09</v>
      </c>
      <c r="K228" s="187">
        <f t="shared" ref="K228:AN228" si="392">+K178</f>
        <v>0</v>
      </c>
      <c r="L228" s="187">
        <f t="shared" si="392"/>
        <v>0</v>
      </c>
      <c r="M228" s="187">
        <f t="shared" si="392"/>
        <v>201303.09</v>
      </c>
      <c r="N228" s="187">
        <f t="shared" si="392"/>
        <v>0</v>
      </c>
      <c r="O228" s="187">
        <f t="shared" si="392"/>
        <v>0</v>
      </c>
      <c r="P228" s="187">
        <f t="shared" si="392"/>
        <v>0</v>
      </c>
      <c r="Q228" s="187">
        <f t="shared" si="392"/>
        <v>15484.850000000022</v>
      </c>
      <c r="R228" s="187">
        <f t="shared" si="392"/>
        <v>0</v>
      </c>
      <c r="S228" s="187">
        <f t="shared" si="392"/>
        <v>0</v>
      </c>
      <c r="T228" s="187">
        <f t="shared" si="392"/>
        <v>15484.850000000022</v>
      </c>
      <c r="U228" s="187">
        <f t="shared" si="392"/>
        <v>0</v>
      </c>
      <c r="V228" s="187">
        <f t="shared" si="392"/>
        <v>0</v>
      </c>
      <c r="W228" s="187">
        <f t="shared" si="392"/>
        <v>15484.850000000022</v>
      </c>
      <c r="X228" s="187">
        <f t="shared" si="392"/>
        <v>0</v>
      </c>
      <c r="Y228" s="187">
        <f t="shared" si="392"/>
        <v>0</v>
      </c>
      <c r="Z228" s="187">
        <f t="shared" si="392"/>
        <v>15484.850000000022</v>
      </c>
      <c r="AA228" s="187">
        <f t="shared" si="392"/>
        <v>0</v>
      </c>
      <c r="AB228" s="187">
        <f t="shared" si="392"/>
        <v>0</v>
      </c>
      <c r="AC228" s="187">
        <f t="shared" si="392"/>
        <v>0</v>
      </c>
      <c r="AD228" s="187">
        <f t="shared" si="392"/>
        <v>-77424.269999999975</v>
      </c>
      <c r="AE228" s="187">
        <f t="shared" si="392"/>
        <v>0</v>
      </c>
      <c r="AF228" s="187">
        <f t="shared" si="392"/>
        <v>0</v>
      </c>
      <c r="AG228" s="187">
        <f t="shared" si="392"/>
        <v>-77424.269999999975</v>
      </c>
      <c r="AH228" s="187">
        <f t="shared" si="392"/>
        <v>0</v>
      </c>
      <c r="AI228" s="187">
        <f t="shared" si="392"/>
        <v>0</v>
      </c>
      <c r="AJ228" s="187">
        <f t="shared" si="392"/>
        <v>-77424.269999999975</v>
      </c>
      <c r="AK228" s="187">
        <f t="shared" si="392"/>
        <v>0</v>
      </c>
      <c r="AL228" s="187">
        <f t="shared" si="392"/>
        <v>0</v>
      </c>
      <c r="AM228" s="187">
        <f t="shared" si="392"/>
        <v>-77424.269999999975</v>
      </c>
      <c r="AN228" s="187">
        <f t="shared" si="392"/>
        <v>0</v>
      </c>
    </row>
    <row r="229" spans="1:40" x14ac:dyDescent="0.15">
      <c r="A229" s="39" t="s">
        <v>88</v>
      </c>
      <c r="G229" s="155"/>
      <c r="H229" s="187">
        <f t="shared" si="389"/>
        <v>0</v>
      </c>
      <c r="I229" s="187">
        <f t="shared" si="389"/>
        <v>0</v>
      </c>
      <c r="J229" s="187">
        <f t="shared" si="389"/>
        <v>-180106.25500000003</v>
      </c>
      <c r="K229" s="187">
        <f t="shared" ref="K229:AN229" si="393">+K179</f>
        <v>0</v>
      </c>
      <c r="L229" s="187">
        <f t="shared" si="393"/>
        <v>0</v>
      </c>
      <c r="M229" s="187">
        <f t="shared" si="393"/>
        <v>-180106.25500000003</v>
      </c>
      <c r="N229" s="187">
        <f t="shared" si="393"/>
        <v>0</v>
      </c>
      <c r="O229" s="187">
        <f t="shared" si="393"/>
        <v>0</v>
      </c>
      <c r="P229" s="187">
        <f t="shared" si="393"/>
        <v>0</v>
      </c>
      <c r="Q229" s="187">
        <f t="shared" si="393"/>
        <v>-296668.755</v>
      </c>
      <c r="R229" s="187">
        <f t="shared" si="393"/>
        <v>0</v>
      </c>
      <c r="S229" s="187">
        <f t="shared" si="393"/>
        <v>0</v>
      </c>
      <c r="T229" s="187">
        <f t="shared" si="393"/>
        <v>-296668.755</v>
      </c>
      <c r="U229" s="187">
        <f t="shared" si="393"/>
        <v>0</v>
      </c>
      <c r="V229" s="187">
        <f t="shared" si="393"/>
        <v>0</v>
      </c>
      <c r="W229" s="187">
        <f t="shared" si="393"/>
        <v>-296668.755</v>
      </c>
      <c r="X229" s="187">
        <f t="shared" si="393"/>
        <v>0</v>
      </c>
      <c r="Y229" s="187">
        <f t="shared" si="393"/>
        <v>0</v>
      </c>
      <c r="Z229" s="187">
        <f t="shared" si="393"/>
        <v>-296668.755</v>
      </c>
      <c r="AA229" s="187">
        <f t="shared" si="393"/>
        <v>0</v>
      </c>
      <c r="AB229" s="187">
        <f t="shared" si="393"/>
        <v>0</v>
      </c>
      <c r="AC229" s="187">
        <f t="shared" si="393"/>
        <v>0</v>
      </c>
      <c r="AD229" s="187">
        <f t="shared" si="393"/>
        <v>0</v>
      </c>
      <c r="AE229" s="187">
        <f t="shared" si="393"/>
        <v>0</v>
      </c>
      <c r="AF229" s="187">
        <f t="shared" si="393"/>
        <v>0</v>
      </c>
      <c r="AG229" s="187">
        <f t="shared" si="393"/>
        <v>0</v>
      </c>
      <c r="AH229" s="187">
        <f t="shared" si="393"/>
        <v>0</v>
      </c>
      <c r="AI229" s="187">
        <f t="shared" si="393"/>
        <v>0</v>
      </c>
      <c r="AJ229" s="187">
        <f t="shared" si="393"/>
        <v>0</v>
      </c>
      <c r="AK229" s="187">
        <f t="shared" si="393"/>
        <v>0</v>
      </c>
      <c r="AL229" s="187">
        <f t="shared" si="393"/>
        <v>0</v>
      </c>
      <c r="AM229" s="187">
        <f t="shared" si="393"/>
        <v>0</v>
      </c>
      <c r="AN229" s="187">
        <f t="shared" si="393"/>
        <v>0</v>
      </c>
    </row>
    <row r="230" spans="1:40" x14ac:dyDescent="0.15">
      <c r="A230" s="39" t="s">
        <v>37</v>
      </c>
      <c r="G230" s="155"/>
      <c r="H230" s="187">
        <f t="shared" si="389"/>
        <v>0</v>
      </c>
      <c r="I230" s="187">
        <f t="shared" si="389"/>
        <v>0</v>
      </c>
      <c r="J230" s="187">
        <f t="shared" si="389"/>
        <v>588508.31999999995</v>
      </c>
      <c r="K230" s="187">
        <f t="shared" ref="K230:AN230" si="394">+K180</f>
        <v>0</v>
      </c>
      <c r="L230" s="187">
        <f t="shared" si="394"/>
        <v>0</v>
      </c>
      <c r="M230" s="187">
        <f t="shared" si="394"/>
        <v>588508.31999999995</v>
      </c>
      <c r="N230" s="187">
        <f t="shared" si="394"/>
        <v>0</v>
      </c>
      <c r="O230" s="187">
        <f t="shared" si="394"/>
        <v>0</v>
      </c>
      <c r="P230" s="187">
        <f t="shared" si="394"/>
        <v>0</v>
      </c>
      <c r="Q230" s="187">
        <f t="shared" si="394"/>
        <v>422518.79307692207</v>
      </c>
      <c r="R230" s="187">
        <f t="shared" si="394"/>
        <v>0</v>
      </c>
      <c r="S230" s="187">
        <f t="shared" si="394"/>
        <v>0</v>
      </c>
      <c r="T230" s="187">
        <f t="shared" si="394"/>
        <v>422518.79307692207</v>
      </c>
      <c r="U230" s="187">
        <f t="shared" si="394"/>
        <v>0</v>
      </c>
      <c r="V230" s="187">
        <f t="shared" si="394"/>
        <v>0</v>
      </c>
      <c r="W230" s="187">
        <f t="shared" si="394"/>
        <v>422518.79307692207</v>
      </c>
      <c r="X230" s="187">
        <f t="shared" si="394"/>
        <v>0</v>
      </c>
      <c r="Y230" s="187">
        <f t="shared" si="394"/>
        <v>0</v>
      </c>
      <c r="Z230" s="187">
        <f t="shared" si="394"/>
        <v>422518.79307692207</v>
      </c>
      <c r="AA230" s="187">
        <f t="shared" si="394"/>
        <v>0</v>
      </c>
      <c r="AB230" s="187">
        <f t="shared" si="394"/>
        <v>0</v>
      </c>
      <c r="AC230" s="187">
        <f t="shared" si="394"/>
        <v>0</v>
      </c>
      <c r="AD230" s="187">
        <f t="shared" si="394"/>
        <v>339524.0296153829</v>
      </c>
      <c r="AE230" s="187">
        <f t="shared" si="394"/>
        <v>0</v>
      </c>
      <c r="AF230" s="187">
        <f t="shared" si="394"/>
        <v>0</v>
      </c>
      <c r="AG230" s="187">
        <f t="shared" si="394"/>
        <v>339524.0296153829</v>
      </c>
      <c r="AH230" s="187">
        <f t="shared" si="394"/>
        <v>0</v>
      </c>
      <c r="AI230" s="187">
        <f t="shared" si="394"/>
        <v>0</v>
      </c>
      <c r="AJ230" s="187">
        <f t="shared" si="394"/>
        <v>339524.0296153829</v>
      </c>
      <c r="AK230" s="187">
        <f t="shared" si="394"/>
        <v>0</v>
      </c>
      <c r="AL230" s="187">
        <f t="shared" si="394"/>
        <v>0</v>
      </c>
      <c r="AM230" s="187">
        <f t="shared" si="394"/>
        <v>339524.0296153829</v>
      </c>
      <c r="AN230" s="187">
        <f t="shared" si="394"/>
        <v>0</v>
      </c>
    </row>
    <row r="231" spans="1:40" x14ac:dyDescent="0.15">
      <c r="A231" s="39" t="s">
        <v>77</v>
      </c>
      <c r="G231" s="155"/>
      <c r="H231" s="187">
        <f t="shared" si="389"/>
        <v>0</v>
      </c>
      <c r="I231" s="187">
        <f t="shared" si="389"/>
        <v>0</v>
      </c>
      <c r="J231" s="187">
        <f t="shared" si="389"/>
        <v>237476.54869863004</v>
      </c>
      <c r="K231" s="187">
        <f t="shared" ref="K231:AN231" si="395">+K181</f>
        <v>0</v>
      </c>
      <c r="L231" s="187">
        <f t="shared" si="395"/>
        <v>0</v>
      </c>
      <c r="M231" s="187">
        <f t="shared" si="395"/>
        <v>237476.54869863004</v>
      </c>
      <c r="N231" s="187">
        <f t="shared" si="395"/>
        <v>0</v>
      </c>
      <c r="O231" s="187">
        <f t="shared" si="395"/>
        <v>0</v>
      </c>
      <c r="P231" s="187">
        <f t="shared" si="395"/>
        <v>0</v>
      </c>
      <c r="Q231" s="187">
        <f t="shared" si="395"/>
        <v>236902.27999999889</v>
      </c>
      <c r="R231" s="187">
        <f t="shared" si="395"/>
        <v>0</v>
      </c>
      <c r="S231" s="187">
        <f t="shared" si="395"/>
        <v>0</v>
      </c>
      <c r="T231" s="187">
        <f t="shared" si="395"/>
        <v>236902.27999999889</v>
      </c>
      <c r="U231" s="187">
        <f t="shared" si="395"/>
        <v>0</v>
      </c>
      <c r="V231" s="187">
        <f t="shared" si="395"/>
        <v>0</v>
      </c>
      <c r="W231" s="187">
        <f t="shared" si="395"/>
        <v>236902.27999999889</v>
      </c>
      <c r="X231" s="187">
        <f t="shared" si="395"/>
        <v>0</v>
      </c>
      <c r="Y231" s="187">
        <f t="shared" si="395"/>
        <v>0</v>
      </c>
      <c r="Z231" s="187">
        <f t="shared" si="395"/>
        <v>236902.27999999889</v>
      </c>
      <c r="AA231" s="187">
        <f t="shared" si="395"/>
        <v>0</v>
      </c>
      <c r="AB231" s="187">
        <f t="shared" si="395"/>
        <v>0</v>
      </c>
      <c r="AC231" s="187">
        <f t="shared" si="395"/>
        <v>0</v>
      </c>
      <c r="AD231" s="187">
        <f t="shared" si="395"/>
        <v>237285.12246575201</v>
      </c>
      <c r="AE231" s="187">
        <f t="shared" si="395"/>
        <v>0</v>
      </c>
      <c r="AF231" s="187">
        <f t="shared" si="395"/>
        <v>0</v>
      </c>
      <c r="AG231" s="187">
        <f t="shared" si="395"/>
        <v>237285.12246575201</v>
      </c>
      <c r="AH231" s="187">
        <f t="shared" si="395"/>
        <v>0</v>
      </c>
      <c r="AI231" s="187">
        <f t="shared" si="395"/>
        <v>0</v>
      </c>
      <c r="AJ231" s="187">
        <f t="shared" si="395"/>
        <v>237285.12246575201</v>
      </c>
      <c r="AK231" s="187">
        <f t="shared" si="395"/>
        <v>0</v>
      </c>
      <c r="AL231" s="187">
        <f t="shared" si="395"/>
        <v>0</v>
      </c>
      <c r="AM231" s="187">
        <f t="shared" si="395"/>
        <v>237285.12246575201</v>
      </c>
      <c r="AN231" s="187">
        <f t="shared" si="395"/>
        <v>0</v>
      </c>
    </row>
    <row r="232" spans="1:40" x14ac:dyDescent="0.15">
      <c r="A232" s="39" t="s">
        <v>294</v>
      </c>
      <c r="G232" s="155"/>
      <c r="H232" s="187">
        <f t="shared" si="389"/>
        <v>0</v>
      </c>
      <c r="I232" s="187">
        <f t="shared" si="389"/>
        <v>0</v>
      </c>
      <c r="J232" s="187">
        <f t="shared" si="389"/>
        <v>597858.9803225823</v>
      </c>
      <c r="K232" s="187">
        <f t="shared" ref="K232:AN232" si="396">+K182</f>
        <v>0</v>
      </c>
      <c r="L232" s="187">
        <f t="shared" si="396"/>
        <v>0</v>
      </c>
      <c r="M232" s="187">
        <f t="shared" si="396"/>
        <v>597858.9803225823</v>
      </c>
      <c r="N232" s="187">
        <f t="shared" si="396"/>
        <v>0</v>
      </c>
      <c r="O232" s="187">
        <f t="shared" si="396"/>
        <v>0</v>
      </c>
      <c r="P232" s="187">
        <f t="shared" si="396"/>
        <v>0</v>
      </c>
      <c r="Q232" s="187">
        <f t="shared" si="396"/>
        <v>597858.9911290328</v>
      </c>
      <c r="R232" s="187">
        <f t="shared" si="396"/>
        <v>0</v>
      </c>
      <c r="S232" s="187">
        <f t="shared" si="396"/>
        <v>0</v>
      </c>
      <c r="T232" s="187">
        <f t="shared" si="396"/>
        <v>597858.9911290328</v>
      </c>
      <c r="U232" s="187">
        <f t="shared" si="396"/>
        <v>0</v>
      </c>
      <c r="V232" s="187">
        <f t="shared" si="396"/>
        <v>0</v>
      </c>
      <c r="W232" s="187">
        <f t="shared" si="396"/>
        <v>597858.9911290328</v>
      </c>
      <c r="X232" s="187">
        <f t="shared" si="396"/>
        <v>0</v>
      </c>
      <c r="Y232" s="187">
        <f t="shared" si="396"/>
        <v>0</v>
      </c>
      <c r="Z232" s="187">
        <f t="shared" si="396"/>
        <v>597858.9911290328</v>
      </c>
      <c r="AA232" s="187">
        <f t="shared" si="396"/>
        <v>0</v>
      </c>
      <c r="AB232" s="187">
        <f t="shared" si="396"/>
        <v>0</v>
      </c>
      <c r="AC232" s="187">
        <f t="shared" si="396"/>
        <v>0</v>
      </c>
      <c r="AD232" s="187">
        <f t="shared" si="396"/>
        <v>599496.96096774284</v>
      </c>
      <c r="AE232" s="187">
        <f t="shared" si="396"/>
        <v>0</v>
      </c>
      <c r="AF232" s="187">
        <f t="shared" si="396"/>
        <v>0</v>
      </c>
      <c r="AG232" s="187">
        <f t="shared" si="396"/>
        <v>599496.96096774284</v>
      </c>
      <c r="AH232" s="187">
        <f t="shared" si="396"/>
        <v>0</v>
      </c>
      <c r="AI232" s="187">
        <f t="shared" si="396"/>
        <v>0</v>
      </c>
      <c r="AJ232" s="187">
        <f t="shared" si="396"/>
        <v>599496.96096774284</v>
      </c>
      <c r="AK232" s="187">
        <f t="shared" si="396"/>
        <v>0</v>
      </c>
      <c r="AL232" s="187">
        <f t="shared" si="396"/>
        <v>0</v>
      </c>
      <c r="AM232" s="187">
        <f t="shared" si="396"/>
        <v>599496.96096774284</v>
      </c>
      <c r="AN232" s="187">
        <f t="shared" si="396"/>
        <v>0</v>
      </c>
    </row>
    <row r="233" spans="1:40" x14ac:dyDescent="0.15">
      <c r="A233" s="39" t="s">
        <v>295</v>
      </c>
      <c r="G233" s="155"/>
      <c r="H233" s="187">
        <f t="shared" si="389"/>
        <v>0</v>
      </c>
      <c r="I233" s="187">
        <f t="shared" si="389"/>
        <v>0</v>
      </c>
      <c r="J233" s="187">
        <f t="shared" si="389"/>
        <v>-358384.58089651429</v>
      </c>
      <c r="K233" s="187">
        <f t="shared" ref="K233:AN233" si="397">+K183</f>
        <v>0</v>
      </c>
      <c r="L233" s="187">
        <f t="shared" si="397"/>
        <v>0</v>
      </c>
      <c r="M233" s="187">
        <f t="shared" si="397"/>
        <v>-358384.58089651429</v>
      </c>
      <c r="N233" s="187">
        <f t="shared" si="397"/>
        <v>0</v>
      </c>
      <c r="O233" s="187">
        <f t="shared" si="397"/>
        <v>0</v>
      </c>
      <c r="P233" s="187">
        <f t="shared" si="397"/>
        <v>0</v>
      </c>
      <c r="Q233" s="187">
        <f t="shared" si="397"/>
        <v>-358343.85979471332</v>
      </c>
      <c r="R233" s="187">
        <f t="shared" si="397"/>
        <v>0</v>
      </c>
      <c r="S233" s="187">
        <f t="shared" si="397"/>
        <v>0</v>
      </c>
      <c r="T233" s="187">
        <f t="shared" si="397"/>
        <v>-358343.85979471332</v>
      </c>
      <c r="U233" s="187">
        <f t="shared" si="397"/>
        <v>0</v>
      </c>
      <c r="V233" s="187">
        <f t="shared" si="397"/>
        <v>0</v>
      </c>
      <c r="W233" s="187">
        <f t="shared" si="397"/>
        <v>-358343.85979471332</v>
      </c>
      <c r="X233" s="187">
        <f t="shared" si="397"/>
        <v>0</v>
      </c>
      <c r="Y233" s="187">
        <f t="shared" si="397"/>
        <v>0</v>
      </c>
      <c r="Z233" s="187">
        <f t="shared" si="397"/>
        <v>-358343.85979471332</v>
      </c>
      <c r="AA233" s="187">
        <f t="shared" si="397"/>
        <v>0</v>
      </c>
      <c r="AB233" s="187">
        <f t="shared" si="397"/>
        <v>0</v>
      </c>
      <c r="AC233" s="187">
        <f t="shared" si="397"/>
        <v>0</v>
      </c>
      <c r="AD233" s="187">
        <f t="shared" si="397"/>
        <v>-359325.62379414594</v>
      </c>
      <c r="AE233" s="187">
        <f t="shared" si="397"/>
        <v>0</v>
      </c>
      <c r="AF233" s="187">
        <f t="shared" si="397"/>
        <v>0</v>
      </c>
      <c r="AG233" s="187">
        <f t="shared" si="397"/>
        <v>-359325.62379414594</v>
      </c>
      <c r="AH233" s="187">
        <f t="shared" si="397"/>
        <v>0</v>
      </c>
      <c r="AI233" s="187">
        <f t="shared" si="397"/>
        <v>0</v>
      </c>
      <c r="AJ233" s="187">
        <f t="shared" si="397"/>
        <v>-359325.62379414594</v>
      </c>
      <c r="AK233" s="187">
        <f t="shared" si="397"/>
        <v>0</v>
      </c>
      <c r="AL233" s="187">
        <f t="shared" si="397"/>
        <v>0</v>
      </c>
      <c r="AM233" s="187">
        <f t="shared" si="397"/>
        <v>-359325.62379414594</v>
      </c>
      <c r="AN233" s="187">
        <f t="shared" si="397"/>
        <v>0</v>
      </c>
    </row>
    <row r="234" spans="1:40" x14ac:dyDescent="0.15">
      <c r="A234" s="39" t="s">
        <v>49</v>
      </c>
      <c r="G234" s="155"/>
      <c r="H234" s="187">
        <f t="shared" si="389"/>
        <v>0</v>
      </c>
      <c r="I234" s="187">
        <f t="shared" si="389"/>
        <v>0</v>
      </c>
      <c r="J234" s="187">
        <f t="shared" si="389"/>
        <v>0</v>
      </c>
      <c r="K234" s="187">
        <f t="shared" ref="K234:AN234" si="398">+K184</f>
        <v>0</v>
      </c>
      <c r="L234" s="187">
        <f t="shared" si="398"/>
        <v>0</v>
      </c>
      <c r="M234" s="187">
        <f t="shared" si="398"/>
        <v>0</v>
      </c>
      <c r="N234" s="187">
        <f t="shared" si="398"/>
        <v>0</v>
      </c>
      <c r="O234" s="187">
        <f t="shared" si="398"/>
        <v>0</v>
      </c>
      <c r="P234" s="187">
        <f t="shared" si="398"/>
        <v>0</v>
      </c>
      <c r="Q234" s="187">
        <f t="shared" si="398"/>
        <v>24389.999999999985</v>
      </c>
      <c r="R234" s="187">
        <f t="shared" si="398"/>
        <v>0</v>
      </c>
      <c r="S234" s="187">
        <f t="shared" si="398"/>
        <v>0</v>
      </c>
      <c r="T234" s="187">
        <f t="shared" si="398"/>
        <v>24389.999999999985</v>
      </c>
      <c r="U234" s="187">
        <f t="shared" si="398"/>
        <v>0</v>
      </c>
      <c r="V234" s="187">
        <f t="shared" si="398"/>
        <v>0</v>
      </c>
      <c r="W234" s="187">
        <f t="shared" si="398"/>
        <v>24389.999999999985</v>
      </c>
      <c r="X234" s="187">
        <f t="shared" si="398"/>
        <v>0</v>
      </c>
      <c r="Y234" s="187">
        <f t="shared" si="398"/>
        <v>0</v>
      </c>
      <c r="Z234" s="187">
        <f t="shared" si="398"/>
        <v>24389.999999999985</v>
      </c>
      <c r="AA234" s="187">
        <f t="shared" si="398"/>
        <v>0</v>
      </c>
      <c r="AB234" s="187">
        <f t="shared" si="398"/>
        <v>0</v>
      </c>
      <c r="AC234" s="187">
        <f t="shared" si="398"/>
        <v>0</v>
      </c>
      <c r="AD234" s="187">
        <f t="shared" si="398"/>
        <v>14227.500000000002</v>
      </c>
      <c r="AE234" s="187">
        <f t="shared" si="398"/>
        <v>0</v>
      </c>
      <c r="AF234" s="187">
        <f t="shared" si="398"/>
        <v>0</v>
      </c>
      <c r="AG234" s="187">
        <f t="shared" si="398"/>
        <v>14227.500000000002</v>
      </c>
      <c r="AH234" s="187">
        <f t="shared" si="398"/>
        <v>0</v>
      </c>
      <c r="AI234" s="187">
        <f t="shared" si="398"/>
        <v>0</v>
      </c>
      <c r="AJ234" s="187">
        <f t="shared" si="398"/>
        <v>14227.500000000002</v>
      </c>
      <c r="AK234" s="187">
        <f t="shared" si="398"/>
        <v>0</v>
      </c>
      <c r="AL234" s="187">
        <f t="shared" si="398"/>
        <v>0</v>
      </c>
      <c r="AM234" s="187">
        <f t="shared" si="398"/>
        <v>14227.500000000002</v>
      </c>
      <c r="AN234" s="187">
        <f t="shared" si="398"/>
        <v>0</v>
      </c>
    </row>
    <row r="235" spans="1:40" x14ac:dyDescent="0.15">
      <c r="A235" s="39" t="s">
        <v>297</v>
      </c>
      <c r="G235" s="155"/>
      <c r="H235" s="187">
        <f t="shared" si="389"/>
        <v>0</v>
      </c>
      <c r="I235" s="187">
        <f t="shared" si="389"/>
        <v>0</v>
      </c>
      <c r="J235" s="187">
        <f t="shared" si="389"/>
        <v>0</v>
      </c>
      <c r="K235" s="187">
        <f t="shared" ref="K235:AN235" si="399">+K185</f>
        <v>0</v>
      </c>
      <c r="L235" s="187">
        <f t="shared" si="399"/>
        <v>0</v>
      </c>
      <c r="M235" s="187">
        <f t="shared" si="399"/>
        <v>0</v>
      </c>
      <c r="N235" s="187">
        <f t="shared" si="399"/>
        <v>0</v>
      </c>
      <c r="O235" s="187">
        <f t="shared" si="399"/>
        <v>0</v>
      </c>
      <c r="P235" s="187">
        <f t="shared" si="399"/>
        <v>0</v>
      </c>
      <c r="Q235" s="187">
        <f t="shared" si="399"/>
        <v>0</v>
      </c>
      <c r="R235" s="187">
        <f t="shared" si="399"/>
        <v>0</v>
      </c>
      <c r="S235" s="187">
        <f t="shared" si="399"/>
        <v>0</v>
      </c>
      <c r="T235" s="187">
        <f t="shared" si="399"/>
        <v>0</v>
      </c>
      <c r="U235" s="187">
        <f t="shared" si="399"/>
        <v>0</v>
      </c>
      <c r="V235" s="187">
        <f t="shared" si="399"/>
        <v>0</v>
      </c>
      <c r="W235" s="187">
        <f t="shared" si="399"/>
        <v>0</v>
      </c>
      <c r="X235" s="187">
        <f t="shared" si="399"/>
        <v>0</v>
      </c>
      <c r="Y235" s="187">
        <f t="shared" si="399"/>
        <v>0</v>
      </c>
      <c r="Z235" s="187">
        <f t="shared" si="399"/>
        <v>0</v>
      </c>
      <c r="AA235" s="187">
        <f t="shared" si="399"/>
        <v>0</v>
      </c>
      <c r="AB235" s="187">
        <f t="shared" si="399"/>
        <v>0</v>
      </c>
      <c r="AC235" s="187">
        <f t="shared" si="399"/>
        <v>0</v>
      </c>
      <c r="AD235" s="187">
        <f t="shared" si="399"/>
        <v>0</v>
      </c>
      <c r="AE235" s="187">
        <f t="shared" si="399"/>
        <v>0</v>
      </c>
      <c r="AF235" s="187">
        <f t="shared" si="399"/>
        <v>0</v>
      </c>
      <c r="AG235" s="187">
        <f t="shared" si="399"/>
        <v>0</v>
      </c>
      <c r="AH235" s="187">
        <f t="shared" si="399"/>
        <v>0</v>
      </c>
      <c r="AI235" s="187">
        <f t="shared" si="399"/>
        <v>0</v>
      </c>
      <c r="AJ235" s="187">
        <f t="shared" si="399"/>
        <v>0</v>
      </c>
      <c r="AK235" s="187">
        <f t="shared" si="399"/>
        <v>0</v>
      </c>
      <c r="AL235" s="187">
        <f t="shared" si="399"/>
        <v>0</v>
      </c>
      <c r="AM235" s="187">
        <f t="shared" si="399"/>
        <v>0</v>
      </c>
      <c r="AN235" s="187">
        <f t="shared" si="399"/>
        <v>0</v>
      </c>
    </row>
    <row r="236" spans="1:40" x14ac:dyDescent="0.15">
      <c r="A236" s="39" t="s">
        <v>299</v>
      </c>
      <c r="G236" s="155"/>
      <c r="H236" s="187">
        <f t="shared" si="389"/>
        <v>0</v>
      </c>
      <c r="I236" s="187">
        <f t="shared" si="389"/>
        <v>0</v>
      </c>
      <c r="J236" s="187">
        <f t="shared" si="389"/>
        <v>46152.404999999984</v>
      </c>
      <c r="K236" s="187">
        <f t="shared" ref="K236:AN236" si="400">+K186</f>
        <v>0</v>
      </c>
      <c r="L236" s="187">
        <f t="shared" si="400"/>
        <v>0</v>
      </c>
      <c r="M236" s="187">
        <f t="shared" si="400"/>
        <v>46152.404999999984</v>
      </c>
      <c r="N236" s="187">
        <f t="shared" si="400"/>
        <v>0</v>
      </c>
      <c r="O236" s="187">
        <f t="shared" si="400"/>
        <v>0</v>
      </c>
      <c r="P236" s="187">
        <f t="shared" si="400"/>
        <v>0</v>
      </c>
      <c r="Q236" s="187">
        <f t="shared" si="400"/>
        <v>46184.039999999979</v>
      </c>
      <c r="R236" s="187">
        <f t="shared" si="400"/>
        <v>0</v>
      </c>
      <c r="S236" s="187">
        <f t="shared" si="400"/>
        <v>0</v>
      </c>
      <c r="T236" s="187">
        <f t="shared" si="400"/>
        <v>46184.039999999979</v>
      </c>
      <c r="U236" s="187">
        <f t="shared" si="400"/>
        <v>0</v>
      </c>
      <c r="V236" s="187">
        <f t="shared" si="400"/>
        <v>0</v>
      </c>
      <c r="W236" s="187">
        <f t="shared" si="400"/>
        <v>46184.039999999979</v>
      </c>
      <c r="X236" s="187">
        <f t="shared" si="400"/>
        <v>0</v>
      </c>
      <c r="Y236" s="187">
        <f t="shared" si="400"/>
        <v>0</v>
      </c>
      <c r="Z236" s="187">
        <f t="shared" si="400"/>
        <v>46184.039999999979</v>
      </c>
      <c r="AA236" s="187">
        <f t="shared" si="400"/>
        <v>0</v>
      </c>
      <c r="AB236" s="187">
        <f t="shared" si="400"/>
        <v>0</v>
      </c>
      <c r="AC236" s="187">
        <f t="shared" si="400"/>
        <v>0</v>
      </c>
      <c r="AD236" s="187">
        <f t="shared" si="400"/>
        <v>46184.039999999979</v>
      </c>
      <c r="AE236" s="187">
        <f t="shared" si="400"/>
        <v>0</v>
      </c>
      <c r="AF236" s="187">
        <f t="shared" si="400"/>
        <v>0</v>
      </c>
      <c r="AG236" s="187">
        <f t="shared" si="400"/>
        <v>46184.039999999979</v>
      </c>
      <c r="AH236" s="187">
        <f t="shared" si="400"/>
        <v>0</v>
      </c>
      <c r="AI236" s="187">
        <f t="shared" si="400"/>
        <v>0</v>
      </c>
      <c r="AJ236" s="187">
        <f t="shared" si="400"/>
        <v>46184.039999999979</v>
      </c>
      <c r="AK236" s="187">
        <f t="shared" si="400"/>
        <v>0</v>
      </c>
      <c r="AL236" s="187">
        <f t="shared" si="400"/>
        <v>0</v>
      </c>
      <c r="AM236" s="187">
        <f t="shared" si="400"/>
        <v>46184.039999999979</v>
      </c>
      <c r="AN236" s="187">
        <f t="shared" si="400"/>
        <v>0</v>
      </c>
    </row>
    <row r="237" spans="1:40" x14ac:dyDescent="0.15">
      <c r="A237" s="39" t="s">
        <v>300</v>
      </c>
      <c r="G237" s="155"/>
      <c r="H237" s="187">
        <f t="shared" si="389"/>
        <v>0</v>
      </c>
      <c r="I237" s="187">
        <f t="shared" si="389"/>
        <v>0</v>
      </c>
      <c r="J237" s="187">
        <f t="shared" si="389"/>
        <v>2744.754873528464</v>
      </c>
      <c r="K237" s="187">
        <f t="shared" ref="K237:AN237" si="401">+K187</f>
        <v>0</v>
      </c>
      <c r="L237" s="187">
        <f t="shared" si="401"/>
        <v>0</v>
      </c>
      <c r="M237" s="187">
        <f t="shared" si="401"/>
        <v>2744.754873528464</v>
      </c>
      <c r="N237" s="187">
        <f t="shared" si="401"/>
        <v>0</v>
      </c>
      <c r="O237" s="187">
        <f t="shared" si="401"/>
        <v>0</v>
      </c>
      <c r="P237" s="187">
        <f t="shared" si="401"/>
        <v>0</v>
      </c>
      <c r="Q237" s="187">
        <f t="shared" si="401"/>
        <v>-50541.631405219778</v>
      </c>
      <c r="R237" s="187">
        <f t="shared" si="401"/>
        <v>0</v>
      </c>
      <c r="S237" s="187">
        <f t="shared" si="401"/>
        <v>0</v>
      </c>
      <c r="T237" s="187">
        <f t="shared" si="401"/>
        <v>-50541.631405219778</v>
      </c>
      <c r="U237" s="187">
        <f t="shared" si="401"/>
        <v>0</v>
      </c>
      <c r="V237" s="187">
        <f t="shared" si="401"/>
        <v>0</v>
      </c>
      <c r="W237" s="187">
        <f t="shared" si="401"/>
        <v>-50541.631405219778</v>
      </c>
      <c r="X237" s="187">
        <f t="shared" si="401"/>
        <v>0</v>
      </c>
      <c r="Y237" s="187">
        <f t="shared" si="401"/>
        <v>0</v>
      </c>
      <c r="Z237" s="187">
        <f t="shared" si="401"/>
        <v>-50541.631405219778</v>
      </c>
      <c r="AA237" s="187">
        <f t="shared" si="401"/>
        <v>0</v>
      </c>
      <c r="AB237" s="187">
        <f t="shared" si="401"/>
        <v>0</v>
      </c>
      <c r="AC237" s="187">
        <f t="shared" si="401"/>
        <v>0</v>
      </c>
      <c r="AD237" s="187">
        <f t="shared" si="401"/>
        <v>18837.381348034454</v>
      </c>
      <c r="AE237" s="187">
        <f t="shared" si="401"/>
        <v>0</v>
      </c>
      <c r="AF237" s="187">
        <f t="shared" si="401"/>
        <v>0</v>
      </c>
      <c r="AG237" s="187">
        <f t="shared" si="401"/>
        <v>18837.381348034454</v>
      </c>
      <c r="AH237" s="187">
        <f t="shared" si="401"/>
        <v>0</v>
      </c>
      <c r="AI237" s="187">
        <f t="shared" si="401"/>
        <v>0</v>
      </c>
      <c r="AJ237" s="187">
        <f t="shared" si="401"/>
        <v>18837.381348034454</v>
      </c>
      <c r="AK237" s="187">
        <f t="shared" si="401"/>
        <v>0</v>
      </c>
      <c r="AL237" s="187">
        <f t="shared" si="401"/>
        <v>0</v>
      </c>
      <c r="AM237" s="187">
        <f t="shared" si="401"/>
        <v>18837.381348034454</v>
      </c>
      <c r="AN237" s="187">
        <f t="shared" si="401"/>
        <v>0</v>
      </c>
    </row>
    <row r="238" spans="1:40" x14ac:dyDescent="0.15">
      <c r="A238" s="39" t="s">
        <v>302</v>
      </c>
      <c r="G238" s="155"/>
      <c r="H238" s="187">
        <f t="shared" si="389"/>
        <v>0</v>
      </c>
      <c r="I238" s="187">
        <f t="shared" si="389"/>
        <v>0</v>
      </c>
      <c r="J238" s="187">
        <f t="shared" si="389"/>
        <v>45972.917499999967</v>
      </c>
      <c r="K238" s="187">
        <f t="shared" ref="K238:AN238" si="402">+K188</f>
        <v>0</v>
      </c>
      <c r="L238" s="187">
        <f t="shared" si="402"/>
        <v>0</v>
      </c>
      <c r="M238" s="187">
        <f t="shared" si="402"/>
        <v>45972.917499999967</v>
      </c>
      <c r="N238" s="187">
        <f t="shared" si="402"/>
        <v>0</v>
      </c>
      <c r="O238" s="187">
        <f t="shared" si="402"/>
        <v>0</v>
      </c>
      <c r="P238" s="187">
        <f t="shared" si="402"/>
        <v>0</v>
      </c>
      <c r="Q238" s="187">
        <f t="shared" si="402"/>
        <v>-43464.582500000091</v>
      </c>
      <c r="R238" s="187">
        <f t="shared" si="402"/>
        <v>0</v>
      </c>
      <c r="S238" s="187">
        <f t="shared" si="402"/>
        <v>0</v>
      </c>
      <c r="T238" s="187">
        <f t="shared" si="402"/>
        <v>-43464.582500000091</v>
      </c>
      <c r="U238" s="187">
        <f t="shared" si="402"/>
        <v>0</v>
      </c>
      <c r="V238" s="187">
        <f t="shared" si="402"/>
        <v>0</v>
      </c>
      <c r="W238" s="187">
        <f t="shared" si="402"/>
        <v>-43464.582500000091</v>
      </c>
      <c r="X238" s="187">
        <f t="shared" si="402"/>
        <v>0</v>
      </c>
      <c r="Y238" s="187">
        <f t="shared" si="402"/>
        <v>0</v>
      </c>
      <c r="Z238" s="187">
        <f t="shared" si="402"/>
        <v>-43464.582500000091</v>
      </c>
      <c r="AA238" s="187">
        <f t="shared" si="402"/>
        <v>0</v>
      </c>
      <c r="AB238" s="187">
        <f t="shared" si="402"/>
        <v>0</v>
      </c>
      <c r="AC238" s="187">
        <f t="shared" si="402"/>
        <v>0</v>
      </c>
      <c r="AD238" s="187">
        <f t="shared" si="402"/>
        <v>-21732.300000000039</v>
      </c>
      <c r="AE238" s="187">
        <f t="shared" si="402"/>
        <v>0</v>
      </c>
      <c r="AF238" s="187">
        <f t="shared" si="402"/>
        <v>0</v>
      </c>
      <c r="AG238" s="187">
        <f t="shared" si="402"/>
        <v>-21732.300000000039</v>
      </c>
      <c r="AH238" s="187">
        <f t="shared" si="402"/>
        <v>0</v>
      </c>
      <c r="AI238" s="187">
        <f t="shared" si="402"/>
        <v>0</v>
      </c>
      <c r="AJ238" s="187">
        <f t="shared" si="402"/>
        <v>-21732.300000000039</v>
      </c>
      <c r="AK238" s="187">
        <f t="shared" si="402"/>
        <v>0</v>
      </c>
      <c r="AL238" s="187">
        <f t="shared" si="402"/>
        <v>0</v>
      </c>
      <c r="AM238" s="187">
        <f t="shared" si="402"/>
        <v>-21732.300000000039</v>
      </c>
      <c r="AN238" s="187">
        <f t="shared" si="402"/>
        <v>0</v>
      </c>
    </row>
    <row r="239" spans="1:40" x14ac:dyDescent="0.15">
      <c r="A239" s="39" t="s">
        <v>59</v>
      </c>
      <c r="G239" s="155"/>
      <c r="H239" s="187">
        <f t="shared" si="389"/>
        <v>0</v>
      </c>
      <c r="I239" s="187">
        <f t="shared" si="389"/>
        <v>0</v>
      </c>
      <c r="J239" s="187">
        <f t="shared" si="389"/>
        <v>568562.15724549175</v>
      </c>
      <c r="K239" s="187">
        <f t="shared" ref="K239:AN239" si="403">+K189</f>
        <v>0</v>
      </c>
      <c r="L239" s="187">
        <f t="shared" si="403"/>
        <v>0</v>
      </c>
      <c r="M239" s="187">
        <f t="shared" si="403"/>
        <v>568562.15724549175</v>
      </c>
      <c r="N239" s="187">
        <f t="shared" si="403"/>
        <v>0</v>
      </c>
      <c r="O239" s="187">
        <f t="shared" si="403"/>
        <v>0</v>
      </c>
      <c r="P239" s="187">
        <f t="shared" si="403"/>
        <v>0</v>
      </c>
      <c r="Q239" s="187">
        <f t="shared" si="403"/>
        <v>-466675.26190138143</v>
      </c>
      <c r="R239" s="187">
        <f t="shared" si="403"/>
        <v>0</v>
      </c>
      <c r="S239" s="187">
        <f t="shared" si="403"/>
        <v>0</v>
      </c>
      <c r="T239" s="187">
        <f t="shared" si="403"/>
        <v>-466675.26190138143</v>
      </c>
      <c r="U239" s="187">
        <f t="shared" si="403"/>
        <v>0</v>
      </c>
      <c r="V239" s="187">
        <f t="shared" si="403"/>
        <v>0</v>
      </c>
      <c r="W239" s="187">
        <f t="shared" si="403"/>
        <v>-466675.26190138143</v>
      </c>
      <c r="X239" s="187">
        <f t="shared" si="403"/>
        <v>0</v>
      </c>
      <c r="Y239" s="187">
        <f t="shared" si="403"/>
        <v>0</v>
      </c>
      <c r="Z239" s="187">
        <f t="shared" si="403"/>
        <v>-466675.26190138143</v>
      </c>
      <c r="AA239" s="187">
        <f t="shared" si="403"/>
        <v>0</v>
      </c>
      <c r="AB239" s="187">
        <f t="shared" si="403"/>
        <v>0</v>
      </c>
      <c r="AC239" s="187">
        <f t="shared" si="403"/>
        <v>0</v>
      </c>
      <c r="AD239" s="187">
        <f t="shared" si="403"/>
        <v>45530.108666744578</v>
      </c>
      <c r="AE239" s="187">
        <f t="shared" si="403"/>
        <v>0</v>
      </c>
      <c r="AF239" s="187">
        <f t="shared" si="403"/>
        <v>0</v>
      </c>
      <c r="AG239" s="187">
        <f t="shared" si="403"/>
        <v>45530.108666744578</v>
      </c>
      <c r="AH239" s="187">
        <f t="shared" si="403"/>
        <v>0</v>
      </c>
      <c r="AI239" s="187">
        <f t="shared" si="403"/>
        <v>0</v>
      </c>
      <c r="AJ239" s="187">
        <f t="shared" si="403"/>
        <v>45530.108666744578</v>
      </c>
      <c r="AK239" s="187">
        <f t="shared" si="403"/>
        <v>0</v>
      </c>
      <c r="AL239" s="187">
        <f t="shared" si="403"/>
        <v>0</v>
      </c>
      <c r="AM239" s="187">
        <f t="shared" si="403"/>
        <v>45530.108666744578</v>
      </c>
      <c r="AN239" s="187">
        <f t="shared" si="403"/>
        <v>0</v>
      </c>
    </row>
    <row r="240" spans="1:40" x14ac:dyDescent="0.15">
      <c r="A240" s="39" t="s">
        <v>53</v>
      </c>
      <c r="G240" s="155"/>
      <c r="H240" s="187">
        <f t="shared" si="389"/>
        <v>0</v>
      </c>
      <c r="I240" s="187">
        <f t="shared" si="389"/>
        <v>0</v>
      </c>
      <c r="J240" s="187">
        <f t="shared" si="389"/>
        <v>88165.695000000007</v>
      </c>
      <c r="K240" s="187">
        <f t="shared" ref="K240:AN240" si="404">+K190</f>
        <v>0</v>
      </c>
      <c r="L240" s="187">
        <f t="shared" si="404"/>
        <v>0</v>
      </c>
      <c r="M240" s="187">
        <f t="shared" si="404"/>
        <v>88165.695000000007</v>
      </c>
      <c r="N240" s="187">
        <f t="shared" si="404"/>
        <v>0</v>
      </c>
      <c r="O240" s="187">
        <f t="shared" si="404"/>
        <v>0</v>
      </c>
      <c r="P240" s="187">
        <f t="shared" si="404"/>
        <v>0</v>
      </c>
      <c r="Q240" s="187">
        <f t="shared" si="404"/>
        <v>-114737.57999999999</v>
      </c>
      <c r="R240" s="187">
        <f t="shared" si="404"/>
        <v>0</v>
      </c>
      <c r="S240" s="187">
        <f t="shared" si="404"/>
        <v>0</v>
      </c>
      <c r="T240" s="187">
        <f t="shared" si="404"/>
        <v>-114737.57999999999</v>
      </c>
      <c r="U240" s="187">
        <f t="shared" si="404"/>
        <v>0</v>
      </c>
      <c r="V240" s="187">
        <f t="shared" si="404"/>
        <v>0</v>
      </c>
      <c r="W240" s="187">
        <f t="shared" si="404"/>
        <v>-114737.57999999999</v>
      </c>
      <c r="X240" s="187">
        <f t="shared" si="404"/>
        <v>0</v>
      </c>
      <c r="Y240" s="187">
        <f t="shared" si="404"/>
        <v>0</v>
      </c>
      <c r="Z240" s="187">
        <f t="shared" si="404"/>
        <v>-114737.57999999999</v>
      </c>
      <c r="AA240" s="187">
        <f t="shared" si="404"/>
        <v>0</v>
      </c>
      <c r="AB240" s="187">
        <f t="shared" si="404"/>
        <v>0</v>
      </c>
      <c r="AC240" s="187">
        <f t="shared" si="404"/>
        <v>0</v>
      </c>
      <c r="AD240" s="187">
        <f t="shared" si="404"/>
        <v>0</v>
      </c>
      <c r="AE240" s="187">
        <f t="shared" si="404"/>
        <v>0</v>
      </c>
      <c r="AF240" s="187">
        <f t="shared" si="404"/>
        <v>0</v>
      </c>
      <c r="AG240" s="187">
        <f t="shared" si="404"/>
        <v>0</v>
      </c>
      <c r="AH240" s="187">
        <f t="shared" si="404"/>
        <v>0</v>
      </c>
      <c r="AI240" s="187">
        <f t="shared" si="404"/>
        <v>0</v>
      </c>
      <c r="AJ240" s="187">
        <f t="shared" si="404"/>
        <v>0</v>
      </c>
      <c r="AK240" s="187">
        <f t="shared" si="404"/>
        <v>0</v>
      </c>
      <c r="AL240" s="187">
        <f t="shared" si="404"/>
        <v>0</v>
      </c>
      <c r="AM240" s="187">
        <f t="shared" si="404"/>
        <v>0</v>
      </c>
      <c r="AN240" s="187">
        <f t="shared" si="404"/>
        <v>0</v>
      </c>
    </row>
    <row r="241" spans="1:40" x14ac:dyDescent="0.15">
      <c r="A241" s="39" t="s">
        <v>303</v>
      </c>
      <c r="G241" s="155"/>
      <c r="H241" s="187">
        <f t="shared" si="389"/>
        <v>0</v>
      </c>
      <c r="I241" s="187">
        <f t="shared" si="389"/>
        <v>0</v>
      </c>
      <c r="J241" s="187">
        <f t="shared" si="389"/>
        <v>825135.2500000007</v>
      </c>
      <c r="K241" s="187">
        <f t="shared" ref="K241:AN241" si="405">+K191</f>
        <v>0</v>
      </c>
      <c r="L241" s="187">
        <f t="shared" si="405"/>
        <v>0</v>
      </c>
      <c r="M241" s="187">
        <f t="shared" si="405"/>
        <v>825135.2500000007</v>
      </c>
      <c r="N241" s="187">
        <f t="shared" si="405"/>
        <v>0</v>
      </c>
      <c r="O241" s="187">
        <f t="shared" si="405"/>
        <v>0</v>
      </c>
      <c r="P241" s="187">
        <f t="shared" si="405"/>
        <v>0</v>
      </c>
      <c r="Q241" s="187">
        <f t="shared" si="405"/>
        <v>755224.50000000116</v>
      </c>
      <c r="R241" s="187">
        <f t="shared" si="405"/>
        <v>0</v>
      </c>
      <c r="S241" s="187">
        <f t="shared" si="405"/>
        <v>0</v>
      </c>
      <c r="T241" s="187">
        <f t="shared" si="405"/>
        <v>755224.50000000116</v>
      </c>
      <c r="U241" s="187">
        <f t="shared" si="405"/>
        <v>0</v>
      </c>
      <c r="V241" s="187">
        <f t="shared" si="405"/>
        <v>0</v>
      </c>
      <c r="W241" s="187">
        <f t="shared" si="405"/>
        <v>755224.50000000116</v>
      </c>
      <c r="X241" s="187">
        <f t="shared" si="405"/>
        <v>0</v>
      </c>
      <c r="Y241" s="187">
        <f t="shared" si="405"/>
        <v>0</v>
      </c>
      <c r="Z241" s="187">
        <f t="shared" si="405"/>
        <v>755224.50000000116</v>
      </c>
      <c r="AA241" s="187">
        <f t="shared" si="405"/>
        <v>0</v>
      </c>
      <c r="AB241" s="187">
        <f t="shared" si="405"/>
        <v>0</v>
      </c>
      <c r="AC241" s="187">
        <f t="shared" si="405"/>
        <v>0</v>
      </c>
      <c r="AD241" s="187">
        <f t="shared" si="405"/>
        <v>746253.74999999988</v>
      </c>
      <c r="AE241" s="187">
        <f t="shared" si="405"/>
        <v>0</v>
      </c>
      <c r="AF241" s="187">
        <f t="shared" si="405"/>
        <v>0</v>
      </c>
      <c r="AG241" s="187">
        <f t="shared" si="405"/>
        <v>746253.74999999988</v>
      </c>
      <c r="AH241" s="187">
        <f t="shared" si="405"/>
        <v>0</v>
      </c>
      <c r="AI241" s="187">
        <f t="shared" si="405"/>
        <v>0</v>
      </c>
      <c r="AJ241" s="187">
        <f t="shared" si="405"/>
        <v>746253.74999999988</v>
      </c>
      <c r="AK241" s="187">
        <f t="shared" si="405"/>
        <v>0</v>
      </c>
      <c r="AL241" s="187">
        <f t="shared" si="405"/>
        <v>0</v>
      </c>
      <c r="AM241" s="187">
        <f t="shared" si="405"/>
        <v>746253.74999999988</v>
      </c>
      <c r="AN241" s="187">
        <f t="shared" si="405"/>
        <v>0</v>
      </c>
    </row>
    <row r="242" spans="1:40" x14ac:dyDescent="0.15">
      <c r="A242" s="39" t="s">
        <v>304</v>
      </c>
      <c r="G242" s="155"/>
      <c r="H242" s="187">
        <f t="shared" si="389"/>
        <v>0</v>
      </c>
      <c r="I242" s="187">
        <f t="shared" si="389"/>
        <v>0</v>
      </c>
      <c r="J242" s="187">
        <f t="shared" si="389"/>
        <v>-1585886.75</v>
      </c>
      <c r="K242" s="187">
        <f t="shared" ref="K242:AN242" si="406">+K192</f>
        <v>0</v>
      </c>
      <c r="L242" s="187">
        <f t="shared" si="406"/>
        <v>0</v>
      </c>
      <c r="M242" s="187">
        <f t="shared" si="406"/>
        <v>-1585886.75</v>
      </c>
      <c r="N242" s="187">
        <f t="shared" si="406"/>
        <v>0</v>
      </c>
      <c r="O242" s="187">
        <f t="shared" si="406"/>
        <v>0</v>
      </c>
      <c r="P242" s="187">
        <f t="shared" si="406"/>
        <v>0</v>
      </c>
      <c r="Q242" s="187">
        <f t="shared" si="406"/>
        <v>-1630248</v>
      </c>
      <c r="R242" s="187">
        <f t="shared" si="406"/>
        <v>0</v>
      </c>
      <c r="S242" s="187">
        <f t="shared" si="406"/>
        <v>0</v>
      </c>
      <c r="T242" s="187">
        <f t="shared" si="406"/>
        <v>-1630248</v>
      </c>
      <c r="U242" s="187">
        <f t="shared" si="406"/>
        <v>0</v>
      </c>
      <c r="V242" s="187">
        <f t="shared" si="406"/>
        <v>0</v>
      </c>
      <c r="W242" s="187">
        <f t="shared" si="406"/>
        <v>-1630248</v>
      </c>
      <c r="X242" s="187">
        <f t="shared" si="406"/>
        <v>0</v>
      </c>
      <c r="Y242" s="187">
        <f t="shared" si="406"/>
        <v>0</v>
      </c>
      <c r="Z242" s="187">
        <f t="shared" si="406"/>
        <v>-1630248</v>
      </c>
      <c r="AA242" s="187">
        <f t="shared" si="406"/>
        <v>0</v>
      </c>
      <c r="AB242" s="187">
        <f t="shared" si="406"/>
        <v>0</v>
      </c>
      <c r="AC242" s="187">
        <f t="shared" si="406"/>
        <v>0</v>
      </c>
      <c r="AD242" s="187">
        <f t="shared" si="406"/>
        <v>-1651689</v>
      </c>
      <c r="AE242" s="187">
        <f t="shared" si="406"/>
        <v>0</v>
      </c>
      <c r="AF242" s="187">
        <f t="shared" si="406"/>
        <v>0</v>
      </c>
      <c r="AG242" s="187">
        <f t="shared" si="406"/>
        <v>-1651689</v>
      </c>
      <c r="AH242" s="187">
        <f t="shared" si="406"/>
        <v>0</v>
      </c>
      <c r="AI242" s="187">
        <f t="shared" si="406"/>
        <v>0</v>
      </c>
      <c r="AJ242" s="187">
        <f t="shared" si="406"/>
        <v>-1651689</v>
      </c>
      <c r="AK242" s="187">
        <f t="shared" si="406"/>
        <v>0</v>
      </c>
      <c r="AL242" s="187">
        <f t="shared" si="406"/>
        <v>0</v>
      </c>
      <c r="AM242" s="187">
        <f t="shared" si="406"/>
        <v>-1651689</v>
      </c>
      <c r="AN242" s="187">
        <f t="shared" si="406"/>
        <v>0</v>
      </c>
    </row>
    <row r="243" spans="1:40" x14ac:dyDescent="0.15">
      <c r="A243" s="39" t="s">
        <v>41</v>
      </c>
      <c r="G243" s="155"/>
      <c r="H243" s="187">
        <f t="shared" si="389"/>
        <v>0</v>
      </c>
      <c r="I243" s="187">
        <f t="shared" si="389"/>
        <v>0</v>
      </c>
      <c r="J243" s="187">
        <f t="shared" si="389"/>
        <v>254743.39750000081</v>
      </c>
      <c r="K243" s="187">
        <f t="shared" ref="K243:AN243" si="407">+K193</f>
        <v>0</v>
      </c>
      <c r="L243" s="187">
        <f t="shared" si="407"/>
        <v>0</v>
      </c>
      <c r="M243" s="187">
        <f t="shared" si="407"/>
        <v>254743.39750000081</v>
      </c>
      <c r="N243" s="187">
        <f t="shared" si="407"/>
        <v>0</v>
      </c>
      <c r="O243" s="187">
        <f t="shared" si="407"/>
        <v>0</v>
      </c>
      <c r="P243" s="187">
        <f t="shared" si="407"/>
        <v>0</v>
      </c>
      <c r="Q243" s="187">
        <f t="shared" si="407"/>
        <v>256374.39500000028</v>
      </c>
      <c r="R243" s="187">
        <f t="shared" si="407"/>
        <v>0</v>
      </c>
      <c r="S243" s="187">
        <f t="shared" si="407"/>
        <v>0</v>
      </c>
      <c r="T243" s="187">
        <f t="shared" si="407"/>
        <v>256374.39500000028</v>
      </c>
      <c r="U243" s="187">
        <f t="shared" si="407"/>
        <v>0</v>
      </c>
      <c r="V243" s="187">
        <f t="shared" si="407"/>
        <v>0</v>
      </c>
      <c r="W243" s="187">
        <f t="shared" si="407"/>
        <v>256374.39500000028</v>
      </c>
      <c r="X243" s="187">
        <f t="shared" si="407"/>
        <v>0</v>
      </c>
      <c r="Y243" s="187">
        <f t="shared" si="407"/>
        <v>0</v>
      </c>
      <c r="Z243" s="187">
        <f t="shared" si="407"/>
        <v>256374.39500000028</v>
      </c>
      <c r="AA243" s="187">
        <f t="shared" si="407"/>
        <v>0</v>
      </c>
      <c r="AB243" s="187">
        <f t="shared" si="407"/>
        <v>0</v>
      </c>
      <c r="AC243" s="187">
        <f t="shared" si="407"/>
        <v>0</v>
      </c>
      <c r="AD243" s="187">
        <f t="shared" si="407"/>
        <v>194366.43703320305</v>
      </c>
      <c r="AE243" s="187">
        <f t="shared" si="407"/>
        <v>0</v>
      </c>
      <c r="AF243" s="187">
        <f t="shared" si="407"/>
        <v>0</v>
      </c>
      <c r="AG243" s="187">
        <f t="shared" si="407"/>
        <v>194366.43703320305</v>
      </c>
      <c r="AH243" s="187">
        <f t="shared" si="407"/>
        <v>0</v>
      </c>
      <c r="AI243" s="187">
        <f t="shared" si="407"/>
        <v>0</v>
      </c>
      <c r="AJ243" s="187">
        <f t="shared" si="407"/>
        <v>194366.43703320305</v>
      </c>
      <c r="AK243" s="187">
        <f t="shared" si="407"/>
        <v>0</v>
      </c>
      <c r="AL243" s="187">
        <f t="shared" si="407"/>
        <v>0</v>
      </c>
      <c r="AM243" s="187">
        <f t="shared" si="407"/>
        <v>194366.43703320305</v>
      </c>
      <c r="AN243" s="187">
        <f t="shared" si="407"/>
        <v>0</v>
      </c>
    </row>
    <row r="244" spans="1:40" x14ac:dyDescent="0.15">
      <c r="A244" s="39" t="s">
        <v>70</v>
      </c>
      <c r="G244" s="155"/>
      <c r="H244" s="187">
        <f t="shared" si="389"/>
        <v>0</v>
      </c>
      <c r="I244" s="187">
        <f t="shared" si="389"/>
        <v>0</v>
      </c>
      <c r="J244" s="187">
        <f t="shared" si="389"/>
        <v>0</v>
      </c>
      <c r="K244" s="187">
        <f t="shared" ref="K244:AN244" si="408">+K194</f>
        <v>0</v>
      </c>
      <c r="L244" s="187">
        <f t="shared" si="408"/>
        <v>0</v>
      </c>
      <c r="M244" s="187">
        <f t="shared" si="408"/>
        <v>0</v>
      </c>
      <c r="N244" s="187">
        <f t="shared" si="408"/>
        <v>0</v>
      </c>
      <c r="O244" s="187">
        <f t="shared" si="408"/>
        <v>0</v>
      </c>
      <c r="P244" s="187">
        <f t="shared" si="408"/>
        <v>0</v>
      </c>
      <c r="Q244" s="187">
        <f t="shared" si="408"/>
        <v>0</v>
      </c>
      <c r="R244" s="187">
        <f t="shared" si="408"/>
        <v>0</v>
      </c>
      <c r="S244" s="187">
        <f t="shared" si="408"/>
        <v>0</v>
      </c>
      <c r="T244" s="187">
        <f t="shared" si="408"/>
        <v>0</v>
      </c>
      <c r="U244" s="187">
        <f t="shared" si="408"/>
        <v>0</v>
      </c>
      <c r="V244" s="187">
        <f t="shared" si="408"/>
        <v>0</v>
      </c>
      <c r="W244" s="187">
        <f t="shared" si="408"/>
        <v>0</v>
      </c>
      <c r="X244" s="187">
        <f t="shared" si="408"/>
        <v>0</v>
      </c>
      <c r="Y244" s="187">
        <f t="shared" si="408"/>
        <v>0</v>
      </c>
      <c r="Z244" s="187">
        <f t="shared" si="408"/>
        <v>0</v>
      </c>
      <c r="AA244" s="187">
        <f t="shared" si="408"/>
        <v>0</v>
      </c>
      <c r="AB244" s="187">
        <f t="shared" si="408"/>
        <v>0</v>
      </c>
      <c r="AC244" s="187">
        <f t="shared" si="408"/>
        <v>0</v>
      </c>
      <c r="AD244" s="187">
        <f t="shared" si="408"/>
        <v>0</v>
      </c>
      <c r="AE244" s="187">
        <f t="shared" si="408"/>
        <v>0</v>
      </c>
      <c r="AF244" s="187">
        <f t="shared" si="408"/>
        <v>0</v>
      </c>
      <c r="AG244" s="187">
        <f t="shared" si="408"/>
        <v>0</v>
      </c>
      <c r="AH244" s="187">
        <f t="shared" si="408"/>
        <v>0</v>
      </c>
      <c r="AI244" s="187">
        <f t="shared" si="408"/>
        <v>0</v>
      </c>
      <c r="AJ244" s="187">
        <f t="shared" si="408"/>
        <v>0</v>
      </c>
      <c r="AK244" s="187">
        <f t="shared" si="408"/>
        <v>0</v>
      </c>
      <c r="AL244" s="187">
        <f t="shared" si="408"/>
        <v>0</v>
      </c>
      <c r="AM244" s="187">
        <f t="shared" si="408"/>
        <v>0</v>
      </c>
      <c r="AN244" s="187">
        <f t="shared" si="408"/>
        <v>0</v>
      </c>
    </row>
    <row r="245" spans="1:40" x14ac:dyDescent="0.15">
      <c r="A245" s="39" t="s">
        <v>305</v>
      </c>
      <c r="G245" s="155"/>
      <c r="H245" s="187">
        <f t="shared" si="389"/>
        <v>0</v>
      </c>
      <c r="I245" s="187">
        <f t="shared" si="389"/>
        <v>0</v>
      </c>
      <c r="J245" s="187">
        <f t="shared" si="389"/>
        <v>456093.62579456659</v>
      </c>
      <c r="K245" s="187">
        <f t="shared" ref="K245:AN245" si="409">+K195</f>
        <v>0</v>
      </c>
      <c r="L245" s="187">
        <f t="shared" si="409"/>
        <v>0</v>
      </c>
      <c r="M245" s="187">
        <f t="shared" si="409"/>
        <v>456093.62579456659</v>
      </c>
      <c r="N245" s="187">
        <f t="shared" si="409"/>
        <v>0</v>
      </c>
      <c r="O245" s="187">
        <f t="shared" si="409"/>
        <v>0</v>
      </c>
      <c r="P245" s="187">
        <f t="shared" si="409"/>
        <v>0</v>
      </c>
      <c r="Q245" s="187">
        <f t="shared" si="409"/>
        <v>-193124.7940561118</v>
      </c>
      <c r="R245" s="187">
        <f t="shared" si="409"/>
        <v>0</v>
      </c>
      <c r="S245" s="187">
        <f t="shared" si="409"/>
        <v>0</v>
      </c>
      <c r="T245" s="187">
        <f t="shared" si="409"/>
        <v>-193124.7940561118</v>
      </c>
      <c r="U245" s="187">
        <f t="shared" si="409"/>
        <v>0</v>
      </c>
      <c r="V245" s="187">
        <f t="shared" si="409"/>
        <v>0</v>
      </c>
      <c r="W245" s="187">
        <f t="shared" si="409"/>
        <v>-193124.7940561118</v>
      </c>
      <c r="X245" s="187">
        <f t="shared" si="409"/>
        <v>0</v>
      </c>
      <c r="Y245" s="187">
        <f t="shared" si="409"/>
        <v>0</v>
      </c>
      <c r="Z245" s="187">
        <f t="shared" si="409"/>
        <v>-193124.7940561118</v>
      </c>
      <c r="AA245" s="187">
        <f t="shared" si="409"/>
        <v>0</v>
      </c>
      <c r="AB245" s="187">
        <f t="shared" si="409"/>
        <v>0</v>
      </c>
      <c r="AC245" s="187">
        <f t="shared" si="409"/>
        <v>0</v>
      </c>
      <c r="AD245" s="187">
        <f t="shared" si="409"/>
        <v>-484924.39158083539</v>
      </c>
      <c r="AE245" s="187">
        <f t="shared" si="409"/>
        <v>0</v>
      </c>
      <c r="AF245" s="187">
        <f t="shared" si="409"/>
        <v>0</v>
      </c>
      <c r="AG245" s="187">
        <f t="shared" si="409"/>
        <v>-484924.39158083539</v>
      </c>
      <c r="AH245" s="187">
        <f t="shared" si="409"/>
        <v>0</v>
      </c>
      <c r="AI245" s="187">
        <f t="shared" si="409"/>
        <v>0</v>
      </c>
      <c r="AJ245" s="187">
        <f t="shared" si="409"/>
        <v>-484924.39158083539</v>
      </c>
      <c r="AK245" s="187">
        <f t="shared" si="409"/>
        <v>0</v>
      </c>
      <c r="AL245" s="187">
        <f t="shared" si="409"/>
        <v>0</v>
      </c>
      <c r="AM245" s="187">
        <f t="shared" si="409"/>
        <v>-484924.39158083539</v>
      </c>
      <c r="AN245" s="187">
        <f t="shared" si="409"/>
        <v>0</v>
      </c>
    </row>
    <row r="246" spans="1:40" x14ac:dyDescent="0.15">
      <c r="A246" s="39" t="s">
        <v>306</v>
      </c>
      <c r="G246" s="155"/>
      <c r="H246" s="187">
        <f t="shared" si="389"/>
        <v>0</v>
      </c>
      <c r="I246" s="187">
        <f t="shared" si="389"/>
        <v>0</v>
      </c>
      <c r="J246" s="187">
        <f t="shared" si="389"/>
        <v>-162590.75</v>
      </c>
      <c r="K246" s="187">
        <f t="shared" ref="K246:AN246" si="410">+K196</f>
        <v>0</v>
      </c>
      <c r="L246" s="187">
        <f t="shared" si="410"/>
        <v>0</v>
      </c>
      <c r="M246" s="187">
        <f t="shared" si="410"/>
        <v>-162590.75</v>
      </c>
      <c r="N246" s="187">
        <f t="shared" si="410"/>
        <v>0</v>
      </c>
      <c r="O246" s="187">
        <f t="shared" si="410"/>
        <v>0</v>
      </c>
      <c r="P246" s="187">
        <f t="shared" si="410"/>
        <v>0</v>
      </c>
      <c r="Q246" s="187">
        <f t="shared" si="410"/>
        <v>0</v>
      </c>
      <c r="R246" s="187">
        <f t="shared" si="410"/>
        <v>0</v>
      </c>
      <c r="S246" s="187">
        <f t="shared" si="410"/>
        <v>0</v>
      </c>
      <c r="T246" s="187">
        <f t="shared" si="410"/>
        <v>0</v>
      </c>
      <c r="U246" s="187">
        <f t="shared" si="410"/>
        <v>0</v>
      </c>
      <c r="V246" s="187">
        <f t="shared" si="410"/>
        <v>0</v>
      </c>
      <c r="W246" s="187">
        <f t="shared" si="410"/>
        <v>0</v>
      </c>
      <c r="X246" s="187">
        <f t="shared" si="410"/>
        <v>0</v>
      </c>
      <c r="Y246" s="187">
        <f t="shared" si="410"/>
        <v>0</v>
      </c>
      <c r="Z246" s="187">
        <f t="shared" si="410"/>
        <v>0</v>
      </c>
      <c r="AA246" s="187">
        <f t="shared" si="410"/>
        <v>0</v>
      </c>
      <c r="AB246" s="187">
        <f t="shared" si="410"/>
        <v>0</v>
      </c>
      <c r="AC246" s="187">
        <f t="shared" si="410"/>
        <v>0</v>
      </c>
      <c r="AD246" s="187">
        <f t="shared" si="410"/>
        <v>0</v>
      </c>
      <c r="AE246" s="187">
        <f t="shared" si="410"/>
        <v>0</v>
      </c>
      <c r="AF246" s="187">
        <f t="shared" si="410"/>
        <v>0</v>
      </c>
      <c r="AG246" s="187">
        <f t="shared" si="410"/>
        <v>0</v>
      </c>
      <c r="AH246" s="187">
        <f t="shared" si="410"/>
        <v>0</v>
      </c>
      <c r="AI246" s="187">
        <f t="shared" si="410"/>
        <v>0</v>
      </c>
      <c r="AJ246" s="187">
        <f t="shared" si="410"/>
        <v>0</v>
      </c>
      <c r="AK246" s="187">
        <f t="shared" si="410"/>
        <v>0</v>
      </c>
      <c r="AL246" s="187">
        <f t="shared" si="410"/>
        <v>0</v>
      </c>
      <c r="AM246" s="187">
        <f t="shared" si="410"/>
        <v>0</v>
      </c>
      <c r="AN246" s="187">
        <f t="shared" si="410"/>
        <v>0</v>
      </c>
    </row>
    <row r="247" spans="1:40" x14ac:dyDescent="0.15">
      <c r="A247" s="39" t="s">
        <v>75</v>
      </c>
      <c r="G247" s="155"/>
      <c r="H247" s="187">
        <f t="shared" si="389"/>
        <v>0</v>
      </c>
      <c r="I247" s="187">
        <f t="shared" si="389"/>
        <v>0</v>
      </c>
      <c r="J247" s="187">
        <f t="shared" si="389"/>
        <v>-199271.37675619393</v>
      </c>
      <c r="K247" s="187">
        <f t="shared" ref="K247:AN247" si="411">+K197</f>
        <v>0</v>
      </c>
      <c r="L247" s="187">
        <f t="shared" si="411"/>
        <v>0</v>
      </c>
      <c r="M247" s="187">
        <f t="shared" si="411"/>
        <v>-199271.37675619393</v>
      </c>
      <c r="N247" s="187">
        <f t="shared" si="411"/>
        <v>0</v>
      </c>
      <c r="O247" s="187">
        <f t="shared" si="411"/>
        <v>0</v>
      </c>
      <c r="P247" s="187">
        <f t="shared" si="411"/>
        <v>0</v>
      </c>
      <c r="Q247" s="187">
        <f t="shared" si="411"/>
        <v>119462.50577943557</v>
      </c>
      <c r="R247" s="187">
        <f t="shared" si="411"/>
        <v>0</v>
      </c>
      <c r="S247" s="187">
        <f t="shared" si="411"/>
        <v>0</v>
      </c>
      <c r="T247" s="187">
        <f t="shared" si="411"/>
        <v>119462.50577943557</v>
      </c>
      <c r="U247" s="187">
        <f t="shared" si="411"/>
        <v>0</v>
      </c>
      <c r="V247" s="187">
        <f t="shared" si="411"/>
        <v>0</v>
      </c>
      <c r="W247" s="187">
        <f t="shared" si="411"/>
        <v>119462.50577943557</v>
      </c>
      <c r="X247" s="187">
        <f t="shared" si="411"/>
        <v>0</v>
      </c>
      <c r="Y247" s="187">
        <f t="shared" si="411"/>
        <v>0</v>
      </c>
      <c r="Z247" s="187">
        <f t="shared" si="411"/>
        <v>119462.50577943557</v>
      </c>
      <c r="AA247" s="187">
        <f t="shared" si="411"/>
        <v>0</v>
      </c>
      <c r="AB247" s="187">
        <f t="shared" si="411"/>
        <v>0</v>
      </c>
      <c r="AC247" s="187">
        <f t="shared" si="411"/>
        <v>0</v>
      </c>
      <c r="AD247" s="187">
        <f t="shared" si="411"/>
        <v>259923.89184718105</v>
      </c>
      <c r="AE247" s="187">
        <f t="shared" si="411"/>
        <v>0</v>
      </c>
      <c r="AF247" s="187">
        <f t="shared" si="411"/>
        <v>0</v>
      </c>
      <c r="AG247" s="187">
        <f t="shared" si="411"/>
        <v>259923.89184718105</v>
      </c>
      <c r="AH247" s="187">
        <f t="shared" si="411"/>
        <v>0</v>
      </c>
      <c r="AI247" s="187">
        <f t="shared" si="411"/>
        <v>0</v>
      </c>
      <c r="AJ247" s="187">
        <f t="shared" si="411"/>
        <v>259923.89184718105</v>
      </c>
      <c r="AK247" s="187">
        <f t="shared" si="411"/>
        <v>0</v>
      </c>
      <c r="AL247" s="187">
        <f t="shared" si="411"/>
        <v>0</v>
      </c>
      <c r="AM247" s="187">
        <f t="shared" si="411"/>
        <v>259923.89184718105</v>
      </c>
      <c r="AN247" s="187">
        <f t="shared" si="411"/>
        <v>0</v>
      </c>
    </row>
    <row r="248" spans="1:40" x14ac:dyDescent="0.15">
      <c r="A248" s="39" t="s">
        <v>38</v>
      </c>
      <c r="G248" s="155"/>
      <c r="H248" s="187">
        <f t="shared" si="389"/>
        <v>0</v>
      </c>
      <c r="I248" s="187">
        <f t="shared" si="389"/>
        <v>0</v>
      </c>
      <c r="J248" s="187">
        <f t="shared" si="389"/>
        <v>1095959.7579957149</v>
      </c>
      <c r="K248" s="187">
        <f t="shared" ref="K248:AN248" si="412">+K198</f>
        <v>0</v>
      </c>
      <c r="L248" s="187">
        <f t="shared" si="412"/>
        <v>0</v>
      </c>
      <c r="M248" s="187">
        <f t="shared" si="412"/>
        <v>1095959.7579957149</v>
      </c>
      <c r="N248" s="187">
        <f t="shared" si="412"/>
        <v>0</v>
      </c>
      <c r="O248" s="187">
        <f t="shared" si="412"/>
        <v>0</v>
      </c>
      <c r="P248" s="187">
        <f t="shared" si="412"/>
        <v>0</v>
      </c>
      <c r="Q248" s="187">
        <f t="shared" si="412"/>
        <v>786842.95407149941</v>
      </c>
      <c r="R248" s="187">
        <f t="shared" si="412"/>
        <v>0</v>
      </c>
      <c r="S248" s="187">
        <f t="shared" si="412"/>
        <v>0</v>
      </c>
      <c r="T248" s="187">
        <f t="shared" si="412"/>
        <v>786842.95407149941</v>
      </c>
      <c r="U248" s="187">
        <f t="shared" si="412"/>
        <v>0</v>
      </c>
      <c r="V248" s="187">
        <f t="shared" si="412"/>
        <v>0</v>
      </c>
      <c r="W248" s="187">
        <f t="shared" si="412"/>
        <v>786842.95407149941</v>
      </c>
      <c r="X248" s="187">
        <f t="shared" si="412"/>
        <v>0</v>
      </c>
      <c r="Y248" s="187">
        <f t="shared" si="412"/>
        <v>0</v>
      </c>
      <c r="Z248" s="187">
        <f t="shared" si="412"/>
        <v>786842.95407149941</v>
      </c>
      <c r="AA248" s="187">
        <f t="shared" si="412"/>
        <v>0</v>
      </c>
      <c r="AB248" s="187">
        <f t="shared" si="412"/>
        <v>0</v>
      </c>
      <c r="AC248" s="187">
        <f t="shared" si="412"/>
        <v>0</v>
      </c>
      <c r="AD248" s="187">
        <f t="shared" si="412"/>
        <v>632284.55311153422</v>
      </c>
      <c r="AE248" s="187">
        <f t="shared" si="412"/>
        <v>0</v>
      </c>
      <c r="AF248" s="187">
        <f t="shared" si="412"/>
        <v>0</v>
      </c>
      <c r="AG248" s="187">
        <f t="shared" si="412"/>
        <v>632284.55311153422</v>
      </c>
      <c r="AH248" s="187">
        <f t="shared" si="412"/>
        <v>0</v>
      </c>
      <c r="AI248" s="187">
        <f t="shared" si="412"/>
        <v>0</v>
      </c>
      <c r="AJ248" s="187">
        <f t="shared" si="412"/>
        <v>632284.55311153422</v>
      </c>
      <c r="AK248" s="187">
        <f t="shared" si="412"/>
        <v>0</v>
      </c>
      <c r="AL248" s="187">
        <f t="shared" si="412"/>
        <v>0</v>
      </c>
      <c r="AM248" s="187">
        <f t="shared" si="412"/>
        <v>632284.55311153422</v>
      </c>
      <c r="AN248" s="187">
        <f t="shared" si="412"/>
        <v>0</v>
      </c>
    </row>
    <row r="249" spans="1:40" x14ac:dyDescent="0.15">
      <c r="A249" s="39" t="s">
        <v>80</v>
      </c>
      <c r="G249" s="155"/>
      <c r="H249" s="187">
        <f t="shared" si="389"/>
        <v>0</v>
      </c>
      <c r="I249" s="187">
        <f t="shared" si="389"/>
        <v>0</v>
      </c>
      <c r="J249" s="187">
        <f t="shared" si="389"/>
        <v>-7500000</v>
      </c>
      <c r="K249" s="187">
        <f t="shared" ref="K249:AN249" si="413">+K199</f>
        <v>0</v>
      </c>
      <c r="L249" s="187">
        <f t="shared" si="413"/>
        <v>0</v>
      </c>
      <c r="M249" s="187">
        <f t="shared" si="413"/>
        <v>-7500000</v>
      </c>
      <c r="N249" s="187">
        <f t="shared" si="413"/>
        <v>0</v>
      </c>
      <c r="O249" s="187">
        <f t="shared" si="413"/>
        <v>0</v>
      </c>
      <c r="P249" s="187">
        <f t="shared" si="413"/>
        <v>0</v>
      </c>
      <c r="Q249" s="187">
        <f t="shared" si="413"/>
        <v>-7500000</v>
      </c>
      <c r="R249" s="187">
        <f t="shared" si="413"/>
        <v>0</v>
      </c>
      <c r="S249" s="187">
        <f t="shared" si="413"/>
        <v>0</v>
      </c>
      <c r="T249" s="187">
        <f t="shared" si="413"/>
        <v>-7500000</v>
      </c>
      <c r="U249" s="187">
        <f t="shared" si="413"/>
        <v>0</v>
      </c>
      <c r="V249" s="187">
        <f t="shared" si="413"/>
        <v>0</v>
      </c>
      <c r="W249" s="187">
        <f t="shared" si="413"/>
        <v>-7500000</v>
      </c>
      <c r="X249" s="187">
        <f t="shared" si="413"/>
        <v>0</v>
      </c>
      <c r="Y249" s="187">
        <f t="shared" si="413"/>
        <v>0</v>
      </c>
      <c r="Z249" s="187">
        <f t="shared" si="413"/>
        <v>-7500000</v>
      </c>
      <c r="AA249" s="187">
        <f t="shared" si="413"/>
        <v>0</v>
      </c>
      <c r="AB249" s="187">
        <f t="shared" si="413"/>
        <v>0</v>
      </c>
      <c r="AC249" s="187">
        <f t="shared" si="413"/>
        <v>0</v>
      </c>
      <c r="AD249" s="187">
        <f t="shared" si="413"/>
        <v>-7500000</v>
      </c>
      <c r="AE249" s="187">
        <f t="shared" si="413"/>
        <v>0</v>
      </c>
      <c r="AF249" s="187">
        <f t="shared" si="413"/>
        <v>0</v>
      </c>
      <c r="AG249" s="187">
        <f t="shared" si="413"/>
        <v>-7500000</v>
      </c>
      <c r="AH249" s="187">
        <f t="shared" si="413"/>
        <v>0</v>
      </c>
      <c r="AI249" s="187">
        <f t="shared" si="413"/>
        <v>0</v>
      </c>
      <c r="AJ249" s="187">
        <f t="shared" si="413"/>
        <v>-7500000</v>
      </c>
      <c r="AK249" s="187">
        <f t="shared" si="413"/>
        <v>0</v>
      </c>
      <c r="AL249" s="187">
        <f t="shared" si="413"/>
        <v>0</v>
      </c>
      <c r="AM249" s="187">
        <f t="shared" si="413"/>
        <v>-7500000</v>
      </c>
      <c r="AN249" s="187">
        <f t="shared" si="413"/>
        <v>0</v>
      </c>
    </row>
    <row r="250" spans="1:40" x14ac:dyDescent="0.15">
      <c r="A250" s="39" t="s">
        <v>627</v>
      </c>
      <c r="G250" s="155"/>
      <c r="H250" s="187"/>
      <c r="I250" s="187"/>
      <c r="J250" s="187">
        <f t="shared" ref="J250:J256" si="414">+J200</f>
        <v>408872.44691348413</v>
      </c>
      <c r="K250" s="187"/>
      <c r="L250" s="187"/>
      <c r="M250" s="187">
        <f>+M200</f>
        <v>408872.44691348413</v>
      </c>
      <c r="N250" s="187">
        <f t="shared" ref="N250:AA250" si="415">+N200</f>
        <v>0</v>
      </c>
      <c r="O250" s="187">
        <f t="shared" si="415"/>
        <v>0</v>
      </c>
      <c r="P250" s="187">
        <f t="shared" si="415"/>
        <v>0</v>
      </c>
      <c r="Q250" s="187">
        <f t="shared" si="415"/>
        <v>-938876.31792078307</v>
      </c>
      <c r="R250" s="187">
        <f t="shared" si="415"/>
        <v>0</v>
      </c>
      <c r="S250" s="187">
        <f t="shared" si="415"/>
        <v>0</v>
      </c>
      <c r="T250" s="187">
        <f t="shared" si="415"/>
        <v>-938876.31792078307</v>
      </c>
      <c r="U250" s="187">
        <f t="shared" si="415"/>
        <v>0</v>
      </c>
      <c r="V250" s="187">
        <f t="shared" si="415"/>
        <v>0</v>
      </c>
      <c r="W250" s="187">
        <f t="shared" si="415"/>
        <v>-938876.31792078307</v>
      </c>
      <c r="X250" s="187">
        <f t="shared" si="415"/>
        <v>0</v>
      </c>
      <c r="Y250" s="187">
        <f t="shared" si="415"/>
        <v>0</v>
      </c>
      <c r="Z250" s="187">
        <f t="shared" si="415"/>
        <v>-938876.31792078307</v>
      </c>
      <c r="AA250" s="187">
        <f t="shared" si="415"/>
        <v>0</v>
      </c>
      <c r="AB250" s="187"/>
      <c r="AC250" s="187"/>
      <c r="AD250" s="187">
        <f>+AD200</f>
        <v>0</v>
      </c>
      <c r="AE250" s="187">
        <f t="shared" ref="AE250:AN250" si="416">+AE200</f>
        <v>0</v>
      </c>
      <c r="AF250" s="187">
        <f t="shared" si="416"/>
        <v>0</v>
      </c>
      <c r="AG250" s="187">
        <f t="shared" si="416"/>
        <v>0</v>
      </c>
      <c r="AH250" s="187">
        <f t="shared" si="416"/>
        <v>0</v>
      </c>
      <c r="AI250" s="187">
        <f t="shared" si="416"/>
        <v>0</v>
      </c>
      <c r="AJ250" s="187">
        <f t="shared" si="416"/>
        <v>0</v>
      </c>
      <c r="AK250" s="187">
        <f t="shared" si="416"/>
        <v>0</v>
      </c>
      <c r="AL250" s="187">
        <f t="shared" si="416"/>
        <v>0</v>
      </c>
      <c r="AM250" s="187">
        <f t="shared" si="416"/>
        <v>0</v>
      </c>
      <c r="AN250" s="187">
        <f t="shared" si="416"/>
        <v>0</v>
      </c>
    </row>
    <row r="251" spans="1:40" x14ac:dyDescent="0.15">
      <c r="A251" s="39" t="s">
        <v>638</v>
      </c>
      <c r="G251" s="155"/>
      <c r="H251" s="187"/>
      <c r="I251" s="187"/>
      <c r="J251" s="187">
        <f t="shared" si="414"/>
        <v>1207624.6391320711</v>
      </c>
      <c r="K251" s="187"/>
      <c r="L251" s="187"/>
      <c r="M251" s="187">
        <f>+M201</f>
        <v>1207624.6391320711</v>
      </c>
      <c r="N251" s="187">
        <f t="shared" ref="N251:AA251" si="417">+N201</f>
        <v>0</v>
      </c>
      <c r="O251" s="187">
        <f t="shared" si="417"/>
        <v>0</v>
      </c>
      <c r="P251" s="187">
        <f t="shared" si="417"/>
        <v>0</v>
      </c>
      <c r="Q251" s="187">
        <f t="shared" si="417"/>
        <v>-677620.76981492166</v>
      </c>
      <c r="R251" s="187">
        <f t="shared" si="417"/>
        <v>0</v>
      </c>
      <c r="S251" s="187">
        <f t="shared" si="417"/>
        <v>0</v>
      </c>
      <c r="T251" s="187">
        <f t="shared" si="417"/>
        <v>-677620.76981492166</v>
      </c>
      <c r="U251" s="187">
        <f t="shared" si="417"/>
        <v>0</v>
      </c>
      <c r="V251" s="187">
        <f t="shared" si="417"/>
        <v>0</v>
      </c>
      <c r="W251" s="187">
        <f t="shared" si="417"/>
        <v>-677620.76981492166</v>
      </c>
      <c r="X251" s="187">
        <f t="shared" si="417"/>
        <v>0</v>
      </c>
      <c r="Y251" s="187">
        <f t="shared" si="417"/>
        <v>0</v>
      </c>
      <c r="Z251" s="187">
        <f t="shared" si="417"/>
        <v>-677620.76981492166</v>
      </c>
      <c r="AA251" s="187">
        <f t="shared" si="417"/>
        <v>0</v>
      </c>
      <c r="AB251" s="187"/>
      <c r="AC251" s="187"/>
      <c r="AD251" s="187">
        <f>+AD201</f>
        <v>0</v>
      </c>
      <c r="AE251" s="187">
        <f t="shared" ref="AE251:AN251" si="418">+AE201</f>
        <v>0</v>
      </c>
      <c r="AF251" s="187">
        <f t="shared" si="418"/>
        <v>0</v>
      </c>
      <c r="AG251" s="187">
        <f t="shared" si="418"/>
        <v>0</v>
      </c>
      <c r="AH251" s="187">
        <f t="shared" si="418"/>
        <v>0</v>
      </c>
      <c r="AI251" s="187">
        <f t="shared" si="418"/>
        <v>0</v>
      </c>
      <c r="AJ251" s="187">
        <f t="shared" si="418"/>
        <v>0</v>
      </c>
      <c r="AK251" s="187">
        <f t="shared" si="418"/>
        <v>0</v>
      </c>
      <c r="AL251" s="187">
        <f t="shared" si="418"/>
        <v>0</v>
      </c>
      <c r="AM251" s="187">
        <f t="shared" si="418"/>
        <v>0</v>
      </c>
      <c r="AN251" s="187">
        <f t="shared" si="418"/>
        <v>0</v>
      </c>
    </row>
    <row r="252" spans="1:40" x14ac:dyDescent="0.15">
      <c r="A252" s="39" t="s">
        <v>1036</v>
      </c>
      <c r="G252" s="155"/>
      <c r="H252" s="187"/>
      <c r="I252" s="187"/>
      <c r="J252" s="187">
        <f t="shared" si="414"/>
        <v>-827342.03662046883</v>
      </c>
      <c r="K252" s="187"/>
      <c r="L252" s="187"/>
      <c r="M252" s="187">
        <f t="shared" ref="M252:AA254" si="419">+M202</f>
        <v>-827342.03662046883</v>
      </c>
      <c r="N252" s="187">
        <f t="shared" si="419"/>
        <v>0</v>
      </c>
      <c r="O252" s="187">
        <f t="shared" si="419"/>
        <v>0</v>
      </c>
      <c r="P252" s="187">
        <f t="shared" si="419"/>
        <v>0</v>
      </c>
      <c r="Q252" s="187">
        <f t="shared" si="419"/>
        <v>-1826803.9097596072</v>
      </c>
      <c r="R252" s="187">
        <f t="shared" si="419"/>
        <v>0</v>
      </c>
      <c r="S252" s="187">
        <f t="shared" si="419"/>
        <v>0</v>
      </c>
      <c r="T252" s="187">
        <f t="shared" si="419"/>
        <v>-1826803.9097596072</v>
      </c>
      <c r="U252" s="187">
        <f t="shared" si="419"/>
        <v>0</v>
      </c>
      <c r="V252" s="187">
        <f t="shared" si="419"/>
        <v>0</v>
      </c>
      <c r="W252" s="187">
        <f t="shared" si="419"/>
        <v>-1826803.9097596072</v>
      </c>
      <c r="X252" s="187">
        <f t="shared" si="419"/>
        <v>0</v>
      </c>
      <c r="Y252" s="187">
        <f t="shared" si="419"/>
        <v>0</v>
      </c>
      <c r="Z252" s="187">
        <f t="shared" si="419"/>
        <v>-1826803.9097596072</v>
      </c>
      <c r="AA252" s="187">
        <f t="shared" si="419"/>
        <v>0</v>
      </c>
      <c r="AB252" s="187"/>
      <c r="AC252" s="187"/>
      <c r="AD252" s="187">
        <f>+AD202</f>
        <v>763155.35619074083</v>
      </c>
      <c r="AE252" s="187">
        <f t="shared" ref="AE252:AN252" si="420">+AE202</f>
        <v>0</v>
      </c>
      <c r="AF252" s="187">
        <f t="shared" si="420"/>
        <v>0</v>
      </c>
      <c r="AG252" s="187">
        <f t="shared" si="420"/>
        <v>763155.35619074083</v>
      </c>
      <c r="AH252" s="187">
        <f t="shared" si="420"/>
        <v>0</v>
      </c>
      <c r="AI252" s="187">
        <f t="shared" si="420"/>
        <v>0</v>
      </c>
      <c r="AJ252" s="187">
        <f t="shared" si="420"/>
        <v>763155.35619074083</v>
      </c>
      <c r="AK252" s="187">
        <f t="shared" si="420"/>
        <v>0</v>
      </c>
      <c r="AL252" s="187">
        <f t="shared" si="420"/>
        <v>0</v>
      </c>
      <c r="AM252" s="187">
        <f t="shared" si="420"/>
        <v>763155.35619074083</v>
      </c>
      <c r="AN252" s="187">
        <f t="shared" si="420"/>
        <v>0</v>
      </c>
    </row>
    <row r="253" spans="1:40" x14ac:dyDescent="0.15">
      <c r="A253" s="39" t="s">
        <v>622</v>
      </c>
      <c r="G253" s="155"/>
      <c r="H253" s="187"/>
      <c r="I253" s="187"/>
      <c r="J253" s="187">
        <f t="shared" si="414"/>
        <v>0</v>
      </c>
      <c r="K253" s="187"/>
      <c r="L253" s="187"/>
      <c r="M253" s="187">
        <f t="shared" si="419"/>
        <v>0</v>
      </c>
      <c r="N253" s="187">
        <f t="shared" si="419"/>
        <v>0</v>
      </c>
      <c r="O253" s="187">
        <f t="shared" si="419"/>
        <v>0</v>
      </c>
      <c r="P253" s="187">
        <f t="shared" si="419"/>
        <v>0</v>
      </c>
      <c r="Q253" s="187">
        <f t="shared" si="419"/>
        <v>0</v>
      </c>
      <c r="R253" s="187">
        <f t="shared" si="419"/>
        <v>0</v>
      </c>
      <c r="S253" s="187">
        <f t="shared" si="419"/>
        <v>0</v>
      </c>
      <c r="T253" s="187">
        <f t="shared" si="419"/>
        <v>0</v>
      </c>
      <c r="U253" s="187">
        <f t="shared" si="419"/>
        <v>0</v>
      </c>
      <c r="V253" s="187">
        <f t="shared" si="419"/>
        <v>0</v>
      </c>
      <c r="W253" s="187">
        <f t="shared" si="419"/>
        <v>0</v>
      </c>
      <c r="X253" s="187">
        <f t="shared" si="419"/>
        <v>0</v>
      </c>
      <c r="Y253" s="187">
        <f t="shared" si="419"/>
        <v>0</v>
      </c>
      <c r="Z253" s="187">
        <f t="shared" si="419"/>
        <v>0</v>
      </c>
      <c r="AA253" s="187">
        <f t="shared" si="419"/>
        <v>0</v>
      </c>
      <c r="AB253" s="187"/>
      <c r="AC253" s="187"/>
      <c r="AD253" s="187">
        <f>+AD203</f>
        <v>0</v>
      </c>
      <c r="AE253" s="187">
        <f t="shared" ref="AE253:AN253" si="421">+AE203</f>
        <v>0</v>
      </c>
      <c r="AF253" s="187">
        <f t="shared" si="421"/>
        <v>0</v>
      </c>
      <c r="AG253" s="187">
        <f t="shared" si="421"/>
        <v>0</v>
      </c>
      <c r="AH253" s="187">
        <f t="shared" si="421"/>
        <v>0</v>
      </c>
      <c r="AI253" s="187">
        <f t="shared" si="421"/>
        <v>0</v>
      </c>
      <c r="AJ253" s="187">
        <f t="shared" si="421"/>
        <v>0</v>
      </c>
      <c r="AK253" s="187">
        <f t="shared" si="421"/>
        <v>0</v>
      </c>
      <c r="AL253" s="187">
        <f t="shared" si="421"/>
        <v>0</v>
      </c>
      <c r="AM253" s="187">
        <f t="shared" si="421"/>
        <v>0</v>
      </c>
      <c r="AN253" s="187">
        <f t="shared" si="421"/>
        <v>0</v>
      </c>
    </row>
    <row r="254" spans="1:40" x14ac:dyDescent="0.15">
      <c r="A254" s="39" t="s">
        <v>1028</v>
      </c>
      <c r="G254" s="155"/>
      <c r="H254" s="187"/>
      <c r="I254" s="187"/>
      <c r="J254" s="187">
        <f t="shared" si="414"/>
        <v>-597618</v>
      </c>
      <c r="K254" s="187"/>
      <c r="L254" s="187"/>
      <c r="M254" s="187">
        <f t="shared" si="419"/>
        <v>-597618</v>
      </c>
      <c r="N254" s="187">
        <f t="shared" si="419"/>
        <v>0</v>
      </c>
      <c r="O254" s="187">
        <f t="shared" si="419"/>
        <v>0</v>
      </c>
      <c r="P254" s="187">
        <f t="shared" si="419"/>
        <v>0</v>
      </c>
      <c r="Q254" s="187">
        <f t="shared" si="419"/>
        <v>79682.399999999689</v>
      </c>
      <c r="R254" s="187">
        <f t="shared" si="419"/>
        <v>0</v>
      </c>
      <c r="S254" s="187">
        <f t="shared" si="419"/>
        <v>0</v>
      </c>
      <c r="T254" s="187">
        <f t="shared" si="419"/>
        <v>79682.399999999689</v>
      </c>
      <c r="U254" s="187">
        <f t="shared" si="419"/>
        <v>0</v>
      </c>
      <c r="V254" s="187">
        <f t="shared" si="419"/>
        <v>0</v>
      </c>
      <c r="W254" s="187">
        <f t="shared" si="419"/>
        <v>79682.399999999689</v>
      </c>
      <c r="X254" s="187">
        <f t="shared" si="419"/>
        <v>0</v>
      </c>
      <c r="Y254" s="187">
        <f t="shared" si="419"/>
        <v>0</v>
      </c>
      <c r="Z254" s="187">
        <f t="shared" si="419"/>
        <v>79682.399999999689</v>
      </c>
      <c r="AA254" s="187">
        <f t="shared" si="419"/>
        <v>0</v>
      </c>
      <c r="AB254" s="187"/>
      <c r="AC254" s="187"/>
      <c r="AD254" s="187">
        <f>+AD204</f>
        <v>119523.60000000021</v>
      </c>
      <c r="AE254" s="187">
        <f t="shared" ref="AE254:AN254" si="422">+AE204</f>
        <v>0</v>
      </c>
      <c r="AF254" s="187">
        <f t="shared" si="422"/>
        <v>0</v>
      </c>
      <c r="AG254" s="187">
        <f t="shared" si="422"/>
        <v>119523.60000000021</v>
      </c>
      <c r="AH254" s="187">
        <f t="shared" si="422"/>
        <v>0</v>
      </c>
      <c r="AI254" s="187">
        <f t="shared" si="422"/>
        <v>0</v>
      </c>
      <c r="AJ254" s="187">
        <f t="shared" si="422"/>
        <v>119523.60000000021</v>
      </c>
      <c r="AK254" s="187">
        <f t="shared" si="422"/>
        <v>0</v>
      </c>
      <c r="AL254" s="187">
        <f t="shared" si="422"/>
        <v>0</v>
      </c>
      <c r="AM254" s="187">
        <f t="shared" si="422"/>
        <v>119523.60000000021</v>
      </c>
      <c r="AN254" s="187">
        <f t="shared" si="422"/>
        <v>0</v>
      </c>
    </row>
    <row r="255" spans="1:40" x14ac:dyDescent="0.15">
      <c r="A255" s="39" t="s">
        <v>310</v>
      </c>
      <c r="G255" s="155"/>
      <c r="H255" s="187">
        <f>+H205</f>
        <v>0</v>
      </c>
      <c r="I255" s="187">
        <f>+I205</f>
        <v>0</v>
      </c>
      <c r="J255" s="187">
        <f t="shared" si="414"/>
        <v>-2447725.8000000003</v>
      </c>
      <c r="K255" s="187">
        <f t="shared" ref="K255:AN255" si="423">+K205</f>
        <v>0</v>
      </c>
      <c r="L255" s="187">
        <f t="shared" si="423"/>
        <v>0</v>
      </c>
      <c r="M255" s="187">
        <f t="shared" si="423"/>
        <v>-2447725.8000000003</v>
      </c>
      <c r="N255" s="187">
        <f t="shared" si="423"/>
        <v>0</v>
      </c>
      <c r="O255" s="187">
        <f t="shared" si="423"/>
        <v>0</v>
      </c>
      <c r="P255" s="187">
        <f t="shared" si="423"/>
        <v>0</v>
      </c>
      <c r="Q255" s="187">
        <f t="shared" si="423"/>
        <v>-4869895.0700000012</v>
      </c>
      <c r="R255" s="187">
        <f t="shared" si="423"/>
        <v>0</v>
      </c>
      <c r="S255" s="187">
        <f t="shared" si="423"/>
        <v>0</v>
      </c>
      <c r="T255" s="187">
        <f t="shared" si="423"/>
        <v>-4869895.0700000012</v>
      </c>
      <c r="U255" s="187">
        <f t="shared" si="423"/>
        <v>0</v>
      </c>
      <c r="V255" s="187">
        <f t="shared" si="423"/>
        <v>0</v>
      </c>
      <c r="W255" s="187">
        <f t="shared" si="423"/>
        <v>-4869895.0700000012</v>
      </c>
      <c r="X255" s="187">
        <f t="shared" si="423"/>
        <v>0</v>
      </c>
      <c r="Y255" s="187">
        <f t="shared" si="423"/>
        <v>0</v>
      </c>
      <c r="Z255" s="187">
        <f t="shared" si="423"/>
        <v>-4869895.0700000012</v>
      </c>
      <c r="AA255" s="187">
        <f t="shared" si="423"/>
        <v>0</v>
      </c>
      <c r="AB255" s="187">
        <f t="shared" si="423"/>
        <v>0</v>
      </c>
      <c r="AC255" s="187">
        <f t="shared" si="423"/>
        <v>0</v>
      </c>
      <c r="AD255" s="187">
        <f t="shared" si="423"/>
        <v>-4636457.6349999998</v>
      </c>
      <c r="AE255" s="187">
        <f t="shared" si="423"/>
        <v>0</v>
      </c>
      <c r="AF255" s="187">
        <f t="shared" si="423"/>
        <v>0</v>
      </c>
      <c r="AG255" s="187">
        <f t="shared" si="423"/>
        <v>-4636457.6349999998</v>
      </c>
      <c r="AH255" s="187">
        <f t="shared" si="423"/>
        <v>0</v>
      </c>
      <c r="AI255" s="187">
        <f t="shared" si="423"/>
        <v>0</v>
      </c>
      <c r="AJ255" s="187">
        <f t="shared" si="423"/>
        <v>-4636457.6349999998</v>
      </c>
      <c r="AK255" s="187">
        <f t="shared" si="423"/>
        <v>0</v>
      </c>
      <c r="AL255" s="187">
        <f t="shared" si="423"/>
        <v>0</v>
      </c>
      <c r="AM255" s="187">
        <f t="shared" si="423"/>
        <v>-4636457.6349999998</v>
      </c>
      <c r="AN255" s="187">
        <f t="shared" si="423"/>
        <v>0</v>
      </c>
    </row>
    <row r="256" spans="1:40" x14ac:dyDescent="0.15">
      <c r="A256" s="39" t="s">
        <v>311</v>
      </c>
      <c r="G256" s="155"/>
      <c r="H256" s="187">
        <f>+H206</f>
        <v>0</v>
      </c>
      <c r="I256" s="187">
        <f>+I206</f>
        <v>0</v>
      </c>
      <c r="J256" s="187">
        <f t="shared" si="414"/>
        <v>141123.0399887473</v>
      </c>
      <c r="K256" s="187">
        <f t="shared" ref="K256:AN256" si="424">+K206</f>
        <v>0</v>
      </c>
      <c r="L256" s="187">
        <f t="shared" si="424"/>
        <v>0</v>
      </c>
      <c r="M256" s="187">
        <f t="shared" si="424"/>
        <v>141123.0399887473</v>
      </c>
      <c r="N256" s="187">
        <f t="shared" si="424"/>
        <v>0</v>
      </c>
      <c r="O256" s="187">
        <f t="shared" si="424"/>
        <v>0</v>
      </c>
      <c r="P256" s="187">
        <f t="shared" si="424"/>
        <v>0</v>
      </c>
      <c r="Q256" s="187">
        <f t="shared" si="424"/>
        <v>314591.37407051562</v>
      </c>
      <c r="R256" s="187">
        <f t="shared" si="424"/>
        <v>0</v>
      </c>
      <c r="S256" s="187">
        <f t="shared" si="424"/>
        <v>0</v>
      </c>
      <c r="T256" s="187">
        <f t="shared" si="424"/>
        <v>314591.37407051562</v>
      </c>
      <c r="U256" s="187">
        <f t="shared" si="424"/>
        <v>0</v>
      </c>
      <c r="V256" s="187">
        <f t="shared" si="424"/>
        <v>0</v>
      </c>
      <c r="W256" s="187">
        <f t="shared" si="424"/>
        <v>314591.37407051562</v>
      </c>
      <c r="X256" s="187">
        <f t="shared" si="424"/>
        <v>0</v>
      </c>
      <c r="Y256" s="187">
        <f t="shared" si="424"/>
        <v>0</v>
      </c>
      <c r="Z256" s="187">
        <f t="shared" si="424"/>
        <v>314591.37407051562</v>
      </c>
      <c r="AA256" s="187">
        <f t="shared" si="424"/>
        <v>0</v>
      </c>
      <c r="AB256" s="187">
        <f t="shared" si="424"/>
        <v>0</v>
      </c>
      <c r="AC256" s="187">
        <f t="shared" si="424"/>
        <v>0</v>
      </c>
      <c r="AD256" s="187">
        <f t="shared" si="424"/>
        <v>534513.12708894326</v>
      </c>
      <c r="AE256" s="187">
        <f t="shared" si="424"/>
        <v>0</v>
      </c>
      <c r="AF256" s="187">
        <f t="shared" si="424"/>
        <v>0</v>
      </c>
      <c r="AG256" s="187">
        <f t="shared" si="424"/>
        <v>534513.12708894326</v>
      </c>
      <c r="AH256" s="187">
        <f t="shared" si="424"/>
        <v>0</v>
      </c>
      <c r="AI256" s="187">
        <f t="shared" si="424"/>
        <v>0</v>
      </c>
      <c r="AJ256" s="187">
        <f t="shared" si="424"/>
        <v>534513.12708894326</v>
      </c>
      <c r="AK256" s="187">
        <f t="shared" si="424"/>
        <v>0</v>
      </c>
      <c r="AL256" s="187">
        <f t="shared" si="424"/>
        <v>0</v>
      </c>
      <c r="AM256" s="187">
        <f t="shared" si="424"/>
        <v>534513.12708894326</v>
      </c>
      <c r="AN256" s="187">
        <f t="shared" si="424"/>
        <v>0</v>
      </c>
    </row>
    <row r="257" spans="1:41" x14ac:dyDescent="0.15">
      <c r="A257" s="39" t="s">
        <v>43</v>
      </c>
      <c r="G257" s="155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</row>
    <row r="258" spans="1:41" x14ac:dyDescent="0.15">
      <c r="A258" s="39" t="s">
        <v>44</v>
      </c>
      <c r="G258" s="155"/>
      <c r="H258" s="187">
        <f t="shared" ref="H258:J262" si="425">+H208</f>
        <v>0</v>
      </c>
      <c r="I258" s="187">
        <f t="shared" si="425"/>
        <v>0</v>
      </c>
      <c r="J258" s="187">
        <f t="shared" si="425"/>
        <v>49307213.939286336</v>
      </c>
      <c r="K258" s="187">
        <f t="shared" ref="K258:AN258" si="426">+K208</f>
        <v>0</v>
      </c>
      <c r="L258" s="187">
        <f t="shared" si="426"/>
        <v>0</v>
      </c>
      <c r="M258" s="187">
        <f t="shared" si="426"/>
        <v>49307213.939286336</v>
      </c>
      <c r="N258" s="187">
        <f t="shared" si="426"/>
        <v>0</v>
      </c>
      <c r="O258" s="187">
        <f t="shared" si="426"/>
        <v>0</v>
      </c>
      <c r="P258" s="187">
        <f t="shared" si="426"/>
        <v>0</v>
      </c>
      <c r="Q258" s="187">
        <f t="shared" si="426"/>
        <v>60846712.949403346</v>
      </c>
      <c r="R258" s="187">
        <f t="shared" si="426"/>
        <v>0</v>
      </c>
      <c r="S258" s="187">
        <f t="shared" si="426"/>
        <v>0</v>
      </c>
      <c r="T258" s="187">
        <f t="shared" si="426"/>
        <v>60846712.949403346</v>
      </c>
      <c r="U258" s="187">
        <f t="shared" si="426"/>
        <v>0</v>
      </c>
      <c r="V258" s="187">
        <f t="shared" si="426"/>
        <v>0</v>
      </c>
      <c r="W258" s="187">
        <f t="shared" si="426"/>
        <v>60846712.949403346</v>
      </c>
      <c r="X258" s="187">
        <f t="shared" si="426"/>
        <v>0</v>
      </c>
      <c r="Y258" s="187">
        <f t="shared" si="426"/>
        <v>0</v>
      </c>
      <c r="Z258" s="187">
        <f t="shared" si="426"/>
        <v>60846712.949403346</v>
      </c>
      <c r="AA258" s="187">
        <f t="shared" si="426"/>
        <v>0</v>
      </c>
      <c r="AB258" s="187">
        <f t="shared" si="426"/>
        <v>0</v>
      </c>
      <c r="AC258" s="187">
        <f t="shared" si="426"/>
        <v>0</v>
      </c>
      <c r="AD258" s="187">
        <f t="shared" si="426"/>
        <v>67578622.878713056</v>
      </c>
      <c r="AE258" s="187">
        <f t="shared" si="426"/>
        <v>0</v>
      </c>
      <c r="AF258" s="187">
        <f t="shared" si="426"/>
        <v>0</v>
      </c>
      <c r="AG258" s="187">
        <f t="shared" si="426"/>
        <v>67578622.878713056</v>
      </c>
      <c r="AH258" s="187">
        <f t="shared" si="426"/>
        <v>0</v>
      </c>
      <c r="AI258" s="187">
        <f t="shared" si="426"/>
        <v>0</v>
      </c>
      <c r="AJ258" s="187">
        <f t="shared" si="426"/>
        <v>67578622.878713056</v>
      </c>
      <c r="AK258" s="187">
        <f t="shared" si="426"/>
        <v>0</v>
      </c>
      <c r="AL258" s="187">
        <f t="shared" si="426"/>
        <v>0</v>
      </c>
      <c r="AM258" s="187">
        <f t="shared" si="426"/>
        <v>67578622.878713056</v>
      </c>
      <c r="AN258" s="187">
        <f t="shared" si="426"/>
        <v>0</v>
      </c>
    </row>
    <row r="259" spans="1:41" x14ac:dyDescent="0.15">
      <c r="A259" s="39" t="s">
        <v>625</v>
      </c>
      <c r="G259" s="155"/>
      <c r="H259" s="187">
        <f t="shared" si="425"/>
        <v>0</v>
      </c>
      <c r="I259" s="187">
        <f t="shared" si="425"/>
        <v>0</v>
      </c>
      <c r="J259" s="187">
        <f t="shared" si="425"/>
        <v>520024.53749999998</v>
      </c>
      <c r="K259" s="187">
        <f t="shared" ref="K259:AN259" si="427">+K209</f>
        <v>0</v>
      </c>
      <c r="L259" s="187">
        <f t="shared" si="427"/>
        <v>0</v>
      </c>
      <c r="M259" s="187">
        <f t="shared" si="427"/>
        <v>520024.53749999998</v>
      </c>
      <c r="N259" s="187">
        <f t="shared" si="427"/>
        <v>0</v>
      </c>
      <c r="O259" s="187">
        <f t="shared" si="427"/>
        <v>0</v>
      </c>
      <c r="P259" s="187">
        <f t="shared" si="427"/>
        <v>0</v>
      </c>
      <c r="Q259" s="187">
        <f t="shared" si="427"/>
        <v>-297232.14750000002</v>
      </c>
      <c r="R259" s="187">
        <f t="shared" si="427"/>
        <v>0</v>
      </c>
      <c r="S259" s="187">
        <f t="shared" si="427"/>
        <v>0</v>
      </c>
      <c r="T259" s="187">
        <f t="shared" si="427"/>
        <v>-297232.14750000002</v>
      </c>
      <c r="U259" s="187">
        <f t="shared" si="427"/>
        <v>0</v>
      </c>
      <c r="V259" s="187">
        <f t="shared" si="427"/>
        <v>0</v>
      </c>
      <c r="W259" s="187">
        <f t="shared" si="427"/>
        <v>-297232.14750000002</v>
      </c>
      <c r="X259" s="187">
        <f t="shared" si="427"/>
        <v>0</v>
      </c>
      <c r="Y259" s="187">
        <f t="shared" si="427"/>
        <v>0</v>
      </c>
      <c r="Z259" s="187">
        <f t="shared" si="427"/>
        <v>-297232.14750000002</v>
      </c>
      <c r="AA259" s="187">
        <f t="shared" si="427"/>
        <v>0</v>
      </c>
      <c r="AB259" s="187">
        <f t="shared" si="427"/>
        <v>0</v>
      </c>
      <c r="AC259" s="187">
        <f t="shared" si="427"/>
        <v>0</v>
      </c>
      <c r="AD259" s="187">
        <f t="shared" si="427"/>
        <v>911538.74750000006</v>
      </c>
      <c r="AE259" s="187">
        <f t="shared" si="427"/>
        <v>0</v>
      </c>
      <c r="AF259" s="187">
        <f t="shared" si="427"/>
        <v>0</v>
      </c>
      <c r="AG259" s="187">
        <f t="shared" si="427"/>
        <v>911538.74750000006</v>
      </c>
      <c r="AH259" s="187">
        <f t="shared" si="427"/>
        <v>0</v>
      </c>
      <c r="AI259" s="187">
        <f t="shared" si="427"/>
        <v>0</v>
      </c>
      <c r="AJ259" s="187">
        <f t="shared" si="427"/>
        <v>911538.74750000006</v>
      </c>
      <c r="AK259" s="187">
        <f t="shared" si="427"/>
        <v>0</v>
      </c>
      <c r="AL259" s="187">
        <f t="shared" si="427"/>
        <v>0</v>
      </c>
      <c r="AM259" s="187">
        <f t="shared" si="427"/>
        <v>911538.74750000006</v>
      </c>
      <c r="AN259" s="187">
        <f t="shared" si="427"/>
        <v>0</v>
      </c>
    </row>
    <row r="260" spans="1:41" x14ac:dyDescent="0.15">
      <c r="A260" s="39" t="s">
        <v>47</v>
      </c>
      <c r="G260" s="155"/>
      <c r="H260" s="187">
        <f t="shared" si="425"/>
        <v>0</v>
      </c>
      <c r="I260" s="187">
        <f t="shared" si="425"/>
        <v>0</v>
      </c>
      <c r="J260" s="187">
        <f t="shared" si="425"/>
        <v>3000000</v>
      </c>
      <c r="K260" s="187">
        <f t="shared" ref="K260:AN260" si="428">+K210</f>
        <v>0</v>
      </c>
      <c r="L260" s="187">
        <f t="shared" si="428"/>
        <v>0</v>
      </c>
      <c r="M260" s="187">
        <f t="shared" si="428"/>
        <v>3000000</v>
      </c>
      <c r="N260" s="187">
        <f t="shared" si="428"/>
        <v>0</v>
      </c>
      <c r="O260" s="187">
        <f t="shared" si="428"/>
        <v>0</v>
      </c>
      <c r="P260" s="187">
        <f t="shared" si="428"/>
        <v>0</v>
      </c>
      <c r="Q260" s="187">
        <f t="shared" si="428"/>
        <v>3000000</v>
      </c>
      <c r="R260" s="187">
        <f t="shared" si="428"/>
        <v>0</v>
      </c>
      <c r="S260" s="187">
        <f t="shared" si="428"/>
        <v>0</v>
      </c>
      <c r="T260" s="187">
        <f t="shared" si="428"/>
        <v>3000000</v>
      </c>
      <c r="U260" s="187">
        <f t="shared" si="428"/>
        <v>0</v>
      </c>
      <c r="V260" s="187">
        <f t="shared" si="428"/>
        <v>0</v>
      </c>
      <c r="W260" s="187">
        <f t="shared" si="428"/>
        <v>3000000</v>
      </c>
      <c r="X260" s="187">
        <f t="shared" si="428"/>
        <v>0</v>
      </c>
      <c r="Y260" s="187">
        <f t="shared" si="428"/>
        <v>0</v>
      </c>
      <c r="Z260" s="187">
        <f t="shared" si="428"/>
        <v>3000000</v>
      </c>
      <c r="AA260" s="187">
        <f t="shared" si="428"/>
        <v>0</v>
      </c>
      <c r="AB260" s="187">
        <f t="shared" si="428"/>
        <v>0</v>
      </c>
      <c r="AC260" s="187">
        <f t="shared" si="428"/>
        <v>0</v>
      </c>
      <c r="AD260" s="187">
        <f t="shared" si="428"/>
        <v>3000000</v>
      </c>
      <c r="AE260" s="187">
        <f t="shared" si="428"/>
        <v>0</v>
      </c>
      <c r="AF260" s="187">
        <f t="shared" si="428"/>
        <v>0</v>
      </c>
      <c r="AG260" s="187">
        <f t="shared" si="428"/>
        <v>3000000</v>
      </c>
      <c r="AH260" s="187">
        <f t="shared" si="428"/>
        <v>0</v>
      </c>
      <c r="AI260" s="187">
        <f t="shared" si="428"/>
        <v>0</v>
      </c>
      <c r="AJ260" s="187">
        <f t="shared" si="428"/>
        <v>3000000</v>
      </c>
      <c r="AK260" s="187">
        <f t="shared" si="428"/>
        <v>0</v>
      </c>
      <c r="AL260" s="187">
        <f t="shared" si="428"/>
        <v>0</v>
      </c>
      <c r="AM260" s="187">
        <f t="shared" si="428"/>
        <v>3000000</v>
      </c>
      <c r="AN260" s="187">
        <f t="shared" si="428"/>
        <v>0</v>
      </c>
    </row>
    <row r="261" spans="1:41" x14ac:dyDescent="0.15">
      <c r="A261" s="39" t="s">
        <v>51</v>
      </c>
      <c r="G261" s="155"/>
      <c r="H261" s="187">
        <f t="shared" si="425"/>
        <v>0</v>
      </c>
      <c r="I261" s="187">
        <f t="shared" si="425"/>
        <v>0</v>
      </c>
      <c r="J261" s="187">
        <f t="shared" si="425"/>
        <v>-8717440.8524999991</v>
      </c>
      <c r="K261" s="187">
        <f t="shared" ref="K261:AN261" si="429">+K211</f>
        <v>0</v>
      </c>
      <c r="L261" s="187">
        <f t="shared" si="429"/>
        <v>0</v>
      </c>
      <c r="M261" s="187">
        <f t="shared" si="429"/>
        <v>-8717440.8524999991</v>
      </c>
      <c r="N261" s="187">
        <f t="shared" si="429"/>
        <v>0</v>
      </c>
      <c r="O261" s="187">
        <f t="shared" si="429"/>
        <v>0</v>
      </c>
      <c r="P261" s="187">
        <f t="shared" si="429"/>
        <v>0</v>
      </c>
      <c r="Q261" s="187">
        <f t="shared" si="429"/>
        <v>-9517634.5350000001</v>
      </c>
      <c r="R261" s="187">
        <f t="shared" si="429"/>
        <v>0</v>
      </c>
      <c r="S261" s="187">
        <f t="shared" si="429"/>
        <v>0</v>
      </c>
      <c r="T261" s="187">
        <f t="shared" si="429"/>
        <v>-9517634.5350000001</v>
      </c>
      <c r="U261" s="187">
        <f t="shared" si="429"/>
        <v>0</v>
      </c>
      <c r="V261" s="187">
        <f t="shared" si="429"/>
        <v>0</v>
      </c>
      <c r="W261" s="187">
        <f t="shared" si="429"/>
        <v>-9517634.5350000001</v>
      </c>
      <c r="X261" s="187">
        <f t="shared" si="429"/>
        <v>0</v>
      </c>
      <c r="Y261" s="187">
        <f t="shared" si="429"/>
        <v>0</v>
      </c>
      <c r="Z261" s="187">
        <f t="shared" si="429"/>
        <v>-9517634.5350000001</v>
      </c>
      <c r="AA261" s="187">
        <f t="shared" si="429"/>
        <v>0</v>
      </c>
      <c r="AB261" s="187">
        <f t="shared" si="429"/>
        <v>0</v>
      </c>
      <c r="AC261" s="187">
        <f t="shared" si="429"/>
        <v>0</v>
      </c>
      <c r="AD261" s="187">
        <f t="shared" si="429"/>
        <v>-6337117.0575000001</v>
      </c>
      <c r="AE261" s="187">
        <f t="shared" si="429"/>
        <v>0</v>
      </c>
      <c r="AF261" s="187">
        <f t="shared" si="429"/>
        <v>0</v>
      </c>
      <c r="AG261" s="187">
        <f t="shared" si="429"/>
        <v>-6337117.0575000001</v>
      </c>
      <c r="AH261" s="187">
        <f t="shared" si="429"/>
        <v>0</v>
      </c>
      <c r="AI261" s="187">
        <f t="shared" si="429"/>
        <v>0</v>
      </c>
      <c r="AJ261" s="187">
        <f t="shared" si="429"/>
        <v>-6337117.0575000001</v>
      </c>
      <c r="AK261" s="187">
        <f t="shared" si="429"/>
        <v>0</v>
      </c>
      <c r="AL261" s="187">
        <f t="shared" si="429"/>
        <v>0</v>
      </c>
      <c r="AM261" s="187">
        <f t="shared" si="429"/>
        <v>-6337117.0575000001</v>
      </c>
      <c r="AN261" s="187">
        <f t="shared" si="429"/>
        <v>0</v>
      </c>
    </row>
    <row r="262" spans="1:41" x14ac:dyDescent="0.15">
      <c r="A262" s="39" t="s">
        <v>66</v>
      </c>
      <c r="G262" s="155"/>
      <c r="H262" s="187">
        <f t="shared" si="425"/>
        <v>0</v>
      </c>
      <c r="I262" s="187">
        <f t="shared" si="425"/>
        <v>0</v>
      </c>
      <c r="J262" s="187">
        <f t="shared" si="425"/>
        <v>2638392.7343338542</v>
      </c>
      <c r="K262" s="187">
        <f t="shared" ref="K262:AN262" si="430">+K212</f>
        <v>0</v>
      </c>
      <c r="L262" s="187">
        <f t="shared" si="430"/>
        <v>0</v>
      </c>
      <c r="M262" s="187">
        <f t="shared" si="430"/>
        <v>2638392.7343338542</v>
      </c>
      <c r="N262" s="187">
        <f t="shared" si="430"/>
        <v>0</v>
      </c>
      <c r="O262" s="187">
        <f t="shared" si="430"/>
        <v>0</v>
      </c>
      <c r="P262" s="187">
        <f t="shared" si="430"/>
        <v>0</v>
      </c>
      <c r="Q262" s="187">
        <f t="shared" si="430"/>
        <v>2218291.7114093741</v>
      </c>
      <c r="R262" s="187">
        <f t="shared" si="430"/>
        <v>0</v>
      </c>
      <c r="S262" s="187">
        <f t="shared" si="430"/>
        <v>0</v>
      </c>
      <c r="T262" s="187">
        <f t="shared" si="430"/>
        <v>2218291.7114093741</v>
      </c>
      <c r="U262" s="187">
        <f t="shared" si="430"/>
        <v>0</v>
      </c>
      <c r="V262" s="187">
        <f t="shared" si="430"/>
        <v>0</v>
      </c>
      <c r="W262" s="187">
        <f t="shared" si="430"/>
        <v>2218291.7114093741</v>
      </c>
      <c r="X262" s="187">
        <f t="shared" si="430"/>
        <v>0</v>
      </c>
      <c r="Y262" s="187">
        <f t="shared" si="430"/>
        <v>0</v>
      </c>
      <c r="Z262" s="187">
        <f t="shared" si="430"/>
        <v>2218291.7114093741</v>
      </c>
      <c r="AA262" s="187">
        <f t="shared" si="430"/>
        <v>0</v>
      </c>
      <c r="AB262" s="187">
        <f t="shared" si="430"/>
        <v>0</v>
      </c>
      <c r="AC262" s="187">
        <f t="shared" si="430"/>
        <v>0</v>
      </c>
      <c r="AD262" s="187">
        <f t="shared" si="430"/>
        <v>1612130.8038026036</v>
      </c>
      <c r="AE262" s="187">
        <f t="shared" si="430"/>
        <v>0</v>
      </c>
      <c r="AF262" s="187">
        <f t="shared" si="430"/>
        <v>0</v>
      </c>
      <c r="AG262" s="187">
        <f t="shared" si="430"/>
        <v>1612130.8038026036</v>
      </c>
      <c r="AH262" s="187">
        <f t="shared" si="430"/>
        <v>0</v>
      </c>
      <c r="AI262" s="187">
        <f t="shared" si="430"/>
        <v>0</v>
      </c>
      <c r="AJ262" s="187">
        <f t="shared" si="430"/>
        <v>1612130.8038026036</v>
      </c>
      <c r="AK262" s="187">
        <f t="shared" si="430"/>
        <v>0</v>
      </c>
      <c r="AL262" s="187">
        <f t="shared" si="430"/>
        <v>0</v>
      </c>
      <c r="AM262" s="187">
        <f t="shared" si="430"/>
        <v>1612130.8038026036</v>
      </c>
      <c r="AN262" s="187">
        <f t="shared" si="430"/>
        <v>0</v>
      </c>
    </row>
    <row r="263" spans="1:41" x14ac:dyDescent="0.15">
      <c r="A263" s="39" t="s">
        <v>79</v>
      </c>
      <c r="G263" s="155"/>
      <c r="H263" s="156"/>
      <c r="I263" s="156"/>
      <c r="J263" s="156">
        <f>VLOOKUP($A263,'LG&amp;E Provision'!$B$4:$E$91,J$1,FALSE)/4*1000</f>
        <v>-91705699.356082872</v>
      </c>
      <c r="K263" s="156"/>
      <c r="L263" s="156"/>
      <c r="M263" s="156">
        <f>+J263</f>
        <v>-91705699.356082872</v>
      </c>
      <c r="N263" s="156"/>
      <c r="O263" s="156"/>
      <c r="P263" s="156"/>
      <c r="Q263" s="156">
        <f>VLOOKUP($A263,'LG&amp;E Provision'!$B$4:$E$91,Q$1,FALSE)/4*1000</f>
        <v>-98400137.617816702</v>
      </c>
      <c r="R263" s="156"/>
      <c r="S263" s="156"/>
      <c r="T263" s="156">
        <f>+Q263</f>
        <v>-98400137.617816702</v>
      </c>
      <c r="U263" s="156"/>
      <c r="V263" s="156"/>
      <c r="W263" s="156">
        <f>+T263</f>
        <v>-98400137.617816702</v>
      </c>
      <c r="X263" s="156"/>
      <c r="Y263" s="156"/>
      <c r="Z263" s="156">
        <f>+W263</f>
        <v>-98400137.617816702</v>
      </c>
      <c r="AA263" s="156"/>
      <c r="AB263" s="156"/>
      <c r="AC263" s="156"/>
      <c r="AD263" s="156">
        <f>VLOOKUP($A263,'LG&amp;E Provision'!$B$4:$E$91,AD$1,FALSE)/4*1000</f>
        <v>-97379926.442777306</v>
      </c>
      <c r="AE263" s="156"/>
      <c r="AF263" s="156"/>
      <c r="AG263" s="156">
        <f>+AD263</f>
        <v>-97379926.442777306</v>
      </c>
      <c r="AH263" s="156"/>
      <c r="AI263" s="156"/>
      <c r="AJ263" s="156">
        <f>+AG263</f>
        <v>-97379926.442777306</v>
      </c>
      <c r="AK263" s="156"/>
      <c r="AL263" s="156"/>
      <c r="AM263" s="156">
        <f>+AJ263</f>
        <v>-97379926.442777306</v>
      </c>
      <c r="AN263" s="156"/>
    </row>
    <row r="264" spans="1:41" x14ac:dyDescent="0.15">
      <c r="G264" s="155"/>
      <c r="H264" s="155">
        <f>SUM(H226:H263)</f>
        <v>0</v>
      </c>
      <c r="I264" s="155">
        <f>SUM(I226:I263)</f>
        <v>0</v>
      </c>
      <c r="J264" s="155">
        <f>SUM(J226:J263)</f>
        <v>-48209912.788735047</v>
      </c>
      <c r="K264" s="155">
        <f t="shared" ref="K264:AN264" si="431">SUM(K226:K263)</f>
        <v>0</v>
      </c>
      <c r="L264" s="155">
        <f t="shared" si="431"/>
        <v>0</v>
      </c>
      <c r="M264" s="155">
        <f t="shared" si="431"/>
        <v>-48209912.788735047</v>
      </c>
      <c r="N264" s="155">
        <f t="shared" si="431"/>
        <v>0</v>
      </c>
      <c r="O264" s="155">
        <f t="shared" si="431"/>
        <v>0</v>
      </c>
      <c r="P264" s="155">
        <f t="shared" si="431"/>
        <v>0</v>
      </c>
      <c r="Q264" s="155">
        <f t="shared" si="431"/>
        <v>-57985063.522874877</v>
      </c>
      <c r="R264" s="155">
        <f t="shared" si="431"/>
        <v>0</v>
      </c>
      <c r="S264" s="155">
        <f t="shared" si="431"/>
        <v>0</v>
      </c>
      <c r="T264" s="155">
        <f t="shared" si="431"/>
        <v>-57985063.522874877</v>
      </c>
      <c r="U264" s="155">
        <f t="shared" si="431"/>
        <v>0</v>
      </c>
      <c r="V264" s="155">
        <f t="shared" si="431"/>
        <v>0</v>
      </c>
      <c r="W264" s="155">
        <f t="shared" si="431"/>
        <v>-57985063.522874877</v>
      </c>
      <c r="X264" s="155">
        <f t="shared" si="431"/>
        <v>0</v>
      </c>
      <c r="Y264" s="155">
        <f t="shared" si="431"/>
        <v>0</v>
      </c>
      <c r="Z264" s="155">
        <f t="shared" si="431"/>
        <v>-57985063.522874877</v>
      </c>
      <c r="AA264" s="155">
        <f t="shared" si="431"/>
        <v>0</v>
      </c>
      <c r="AB264" s="155">
        <f t="shared" si="431"/>
        <v>0</v>
      </c>
      <c r="AC264" s="155">
        <f t="shared" si="431"/>
        <v>0</v>
      </c>
      <c r="AD264" s="155">
        <f t="shared" si="431"/>
        <v>-40856523.627736367</v>
      </c>
      <c r="AE264" s="155">
        <f t="shared" si="431"/>
        <v>0</v>
      </c>
      <c r="AF264" s="155">
        <f t="shared" si="431"/>
        <v>0</v>
      </c>
      <c r="AG264" s="155">
        <f t="shared" si="431"/>
        <v>-40856523.627736367</v>
      </c>
      <c r="AH264" s="155">
        <f t="shared" si="431"/>
        <v>0</v>
      </c>
      <c r="AI264" s="155">
        <f t="shared" si="431"/>
        <v>0</v>
      </c>
      <c r="AJ264" s="155">
        <f t="shared" si="431"/>
        <v>-40856523.627736367</v>
      </c>
      <c r="AK264" s="155">
        <f t="shared" si="431"/>
        <v>0</v>
      </c>
      <c r="AL264" s="155">
        <f t="shared" si="431"/>
        <v>0</v>
      </c>
      <c r="AM264" s="155">
        <f t="shared" si="431"/>
        <v>-40856523.627736367</v>
      </c>
      <c r="AN264" s="155">
        <f t="shared" si="431"/>
        <v>0</v>
      </c>
    </row>
    <row r="265" spans="1:41" x14ac:dyDescent="0.15">
      <c r="G265" s="155"/>
      <c r="H265" s="193">
        <v>0.05</v>
      </c>
      <c r="I265" s="193">
        <v>0.05</v>
      </c>
      <c r="J265" s="193">
        <v>0.05</v>
      </c>
      <c r="K265" s="193">
        <v>0.05</v>
      </c>
      <c r="L265" s="193">
        <v>0.05</v>
      </c>
      <c r="M265" s="193">
        <v>0.05</v>
      </c>
      <c r="N265" s="193">
        <v>0.05</v>
      </c>
      <c r="O265" s="193">
        <v>0.05</v>
      </c>
      <c r="P265" s="193">
        <v>0.05</v>
      </c>
      <c r="Q265" s="193">
        <v>0.05</v>
      </c>
      <c r="R265" s="193">
        <v>0.05</v>
      </c>
      <c r="S265" s="193">
        <v>0.05</v>
      </c>
      <c r="T265" s="193">
        <v>0.05</v>
      </c>
      <c r="U265" s="193">
        <v>0.05</v>
      </c>
      <c r="V265" s="193">
        <v>0.05</v>
      </c>
      <c r="W265" s="193">
        <v>0.05</v>
      </c>
      <c r="X265" s="193">
        <v>0.05</v>
      </c>
      <c r="Y265" s="193">
        <v>0.05</v>
      </c>
      <c r="Z265" s="193">
        <v>0.05</v>
      </c>
      <c r="AA265" s="193">
        <v>0.05</v>
      </c>
      <c r="AB265" s="193">
        <v>0.05</v>
      </c>
      <c r="AC265" s="193">
        <v>0.05</v>
      </c>
      <c r="AD265" s="193">
        <v>0.05</v>
      </c>
      <c r="AE265" s="193">
        <v>0.05</v>
      </c>
      <c r="AF265" s="193">
        <v>0.05</v>
      </c>
      <c r="AG265" s="193">
        <v>0.05</v>
      </c>
      <c r="AH265" s="193">
        <v>0.05</v>
      </c>
      <c r="AI265" s="193">
        <v>0.05</v>
      </c>
      <c r="AJ265" s="193">
        <v>0.05</v>
      </c>
      <c r="AK265" s="193">
        <v>0.05</v>
      </c>
      <c r="AL265" s="193">
        <v>0.05</v>
      </c>
      <c r="AM265" s="193">
        <v>0.05</v>
      </c>
      <c r="AN265" s="193">
        <v>0.05</v>
      </c>
      <c r="AO265" s="194"/>
    </row>
    <row r="266" spans="1:41" x14ac:dyDescent="0.15">
      <c r="G266" s="155"/>
      <c r="H266" s="155">
        <f t="shared" ref="H266:M266" si="432">+H264*H265</f>
        <v>0</v>
      </c>
      <c r="I266" s="155">
        <f t="shared" si="432"/>
        <v>0</v>
      </c>
      <c r="J266" s="155">
        <f t="shared" si="432"/>
        <v>-2410495.6394367525</v>
      </c>
      <c r="K266" s="155">
        <f t="shared" si="432"/>
        <v>0</v>
      </c>
      <c r="L266" s="155">
        <f t="shared" si="432"/>
        <v>0</v>
      </c>
      <c r="M266" s="155">
        <f t="shared" si="432"/>
        <v>-2410495.6394367525</v>
      </c>
      <c r="N266" s="155">
        <f t="shared" ref="N266:AG266" si="433">+N264*N265</f>
        <v>0</v>
      </c>
      <c r="O266" s="155">
        <f t="shared" si="433"/>
        <v>0</v>
      </c>
      <c r="P266" s="155">
        <f t="shared" si="433"/>
        <v>0</v>
      </c>
      <c r="Q266" s="155">
        <f t="shared" si="433"/>
        <v>-2899253.176143744</v>
      </c>
      <c r="R266" s="155">
        <f t="shared" si="433"/>
        <v>0</v>
      </c>
      <c r="S266" s="155">
        <f t="shared" si="433"/>
        <v>0</v>
      </c>
      <c r="T266" s="155">
        <f t="shared" si="433"/>
        <v>-2899253.176143744</v>
      </c>
      <c r="U266" s="155">
        <f t="shared" si="433"/>
        <v>0</v>
      </c>
      <c r="V266" s="155">
        <f t="shared" si="433"/>
        <v>0</v>
      </c>
      <c r="W266" s="155">
        <f t="shared" si="433"/>
        <v>-2899253.176143744</v>
      </c>
      <c r="X266" s="155">
        <f t="shared" si="433"/>
        <v>0</v>
      </c>
      <c r="Y266" s="155">
        <f t="shared" si="433"/>
        <v>0</v>
      </c>
      <c r="Z266" s="155">
        <f t="shared" si="433"/>
        <v>-2899253.176143744</v>
      </c>
      <c r="AA266" s="155">
        <f t="shared" si="433"/>
        <v>0</v>
      </c>
      <c r="AB266" s="155">
        <f t="shared" si="433"/>
        <v>0</v>
      </c>
      <c r="AC266" s="155">
        <f t="shared" si="433"/>
        <v>0</v>
      </c>
      <c r="AD266" s="155">
        <f t="shared" si="433"/>
        <v>-2042826.1813868184</v>
      </c>
      <c r="AE266" s="155">
        <f t="shared" si="433"/>
        <v>0</v>
      </c>
      <c r="AF266" s="155">
        <f t="shared" si="433"/>
        <v>0</v>
      </c>
      <c r="AG266" s="155">
        <f t="shared" si="433"/>
        <v>-2042826.1813868184</v>
      </c>
      <c r="AH266" s="155">
        <f t="shared" ref="AH266:AN266" si="434">+AH264*AH265</f>
        <v>0</v>
      </c>
      <c r="AI266" s="155">
        <f t="shared" si="434"/>
        <v>0</v>
      </c>
      <c r="AJ266" s="155">
        <f t="shared" si="434"/>
        <v>-2042826.1813868184</v>
      </c>
      <c r="AK266" s="155">
        <f t="shared" si="434"/>
        <v>0</v>
      </c>
      <c r="AL266" s="155">
        <f t="shared" si="434"/>
        <v>0</v>
      </c>
      <c r="AM266" s="155">
        <f t="shared" si="434"/>
        <v>-2042826.1813868184</v>
      </c>
      <c r="AN266" s="155">
        <f t="shared" si="434"/>
        <v>0</v>
      </c>
    </row>
    <row r="267" spans="1:41" x14ac:dyDescent="0.15">
      <c r="A267" s="39" t="s">
        <v>102</v>
      </c>
      <c r="G267" s="155"/>
      <c r="H267" s="155"/>
      <c r="J267" s="155">
        <f>'Reg Asset and Liab 2018-2020'!K58</f>
        <v>253086.74193038058</v>
      </c>
      <c r="M267" s="155">
        <f>'Reg Asset and Liab 2018-2020'!N58</f>
        <v>224152.24731012687</v>
      </c>
      <c r="Q267" s="155">
        <f>'Reg Asset and Liab 2018-2020'!Q58</f>
        <v>291658.21772151894</v>
      </c>
      <c r="T267" s="155">
        <f>'Reg Asset and Liab 2018-2020'!T58</f>
        <v>291658.21772151894</v>
      </c>
      <c r="W267" s="155">
        <f>'Reg Asset and Liab 2018-2020'!W58</f>
        <v>291658.21772151894</v>
      </c>
      <c r="Z267" s="155">
        <f>'Reg Asset and Liab 2018-2020'!Z58</f>
        <v>291658.21772151894</v>
      </c>
      <c r="AD267" s="155">
        <f>'Reg Asset and Liab 2018-2020'!AC58</f>
        <v>275736.96740506351</v>
      </c>
      <c r="AE267" s="155">
        <f>'Reg Asset and Liab 2018-2020'!AD58</f>
        <v>0</v>
      </c>
      <c r="AG267" s="155">
        <f>'Reg Asset and Liab 2018-2020'!AF58</f>
        <v>275736.96740506351</v>
      </c>
      <c r="AJ267" s="155">
        <f>'Reg Asset and Liab 2018-2020'!AI58</f>
        <v>275736.96740506351</v>
      </c>
      <c r="AM267" s="155">
        <f>'Reg Asset and Liab 2018-2020'!AL58</f>
        <v>275736.96740506351</v>
      </c>
    </row>
    <row r="268" spans="1:41" x14ac:dyDescent="0.15">
      <c r="A268" s="39" t="s">
        <v>101</v>
      </c>
      <c r="G268" s="155"/>
      <c r="H268" s="156"/>
      <c r="I268" s="156"/>
      <c r="J268" s="156">
        <f>-2151.07675*3</f>
        <v>-6453.2302500000005</v>
      </c>
      <c r="K268" s="156"/>
      <c r="L268" s="156"/>
      <c r="M268" s="156">
        <f>-2151.07675*3</f>
        <v>-6453.2302500000005</v>
      </c>
      <c r="N268" s="156"/>
      <c r="O268" s="156"/>
      <c r="P268" s="156"/>
      <c r="Q268" s="156">
        <f>-2151.07675*3</f>
        <v>-6453.2302500000005</v>
      </c>
      <c r="R268" s="156"/>
      <c r="S268" s="156"/>
      <c r="T268" s="156">
        <f>-2151.07675*3</f>
        <v>-6453.2302500000005</v>
      </c>
      <c r="U268" s="156"/>
      <c r="V268" s="156"/>
      <c r="W268" s="156">
        <f>-2151.07675*3</f>
        <v>-6453.2302500000005</v>
      </c>
      <c r="X268" s="156"/>
      <c r="Y268" s="156"/>
      <c r="Z268" s="156">
        <f>-2151.07675*3</f>
        <v>-6453.2302500000005</v>
      </c>
      <c r="AA268" s="156"/>
      <c r="AB268" s="156"/>
      <c r="AC268" s="156"/>
      <c r="AD268" s="156">
        <f>-2151.07675*3</f>
        <v>-6453.2302500000005</v>
      </c>
      <c r="AE268" s="156"/>
      <c r="AF268" s="156"/>
      <c r="AG268" s="156">
        <f>-2151.07675*3</f>
        <v>-6453.2302500000005</v>
      </c>
      <c r="AH268" s="156"/>
      <c r="AI268" s="156"/>
      <c r="AJ268" s="156">
        <f>-2151.07675*3</f>
        <v>-6453.2302500000005</v>
      </c>
      <c r="AK268" s="156"/>
      <c r="AL268" s="156"/>
      <c r="AM268" s="156">
        <f>-2151.07675*3</f>
        <v>-6453.2302500000005</v>
      </c>
      <c r="AN268" s="156"/>
    </row>
    <row r="269" spans="1:41" x14ac:dyDescent="0.15">
      <c r="G269" s="155"/>
      <c r="H269" s="155">
        <f>SUM(H266:H268)</f>
        <v>0</v>
      </c>
      <c r="I269" s="155">
        <f>SUM(I266:I268)</f>
        <v>0</v>
      </c>
      <c r="J269" s="155">
        <f>SUM(J266:J268)</f>
        <v>-2163862.1277563721</v>
      </c>
      <c r="K269" s="155">
        <f t="shared" ref="K269:AN269" si="435">SUM(K266:K268)</f>
        <v>0</v>
      </c>
      <c r="L269" s="155">
        <f t="shared" si="435"/>
        <v>0</v>
      </c>
      <c r="M269" s="155">
        <f t="shared" si="435"/>
        <v>-2192796.6223766259</v>
      </c>
      <c r="N269" s="155">
        <f t="shared" si="435"/>
        <v>0</v>
      </c>
      <c r="O269" s="155">
        <f t="shared" si="435"/>
        <v>0</v>
      </c>
      <c r="P269" s="155">
        <f t="shared" si="435"/>
        <v>0</v>
      </c>
      <c r="Q269" s="155">
        <f t="shared" si="435"/>
        <v>-2614048.188672225</v>
      </c>
      <c r="R269" s="155">
        <f t="shared" si="435"/>
        <v>0</v>
      </c>
      <c r="S269" s="155">
        <f t="shared" si="435"/>
        <v>0</v>
      </c>
      <c r="T269" s="155">
        <f t="shared" si="435"/>
        <v>-2614048.188672225</v>
      </c>
      <c r="U269" s="155">
        <f t="shared" si="435"/>
        <v>0</v>
      </c>
      <c r="V269" s="155">
        <f t="shared" si="435"/>
        <v>0</v>
      </c>
      <c r="W269" s="155">
        <f t="shared" si="435"/>
        <v>-2614048.188672225</v>
      </c>
      <c r="X269" s="155">
        <f t="shared" si="435"/>
        <v>0</v>
      </c>
      <c r="Y269" s="155">
        <f t="shared" si="435"/>
        <v>0</v>
      </c>
      <c r="Z269" s="155">
        <f t="shared" si="435"/>
        <v>-2614048.188672225</v>
      </c>
      <c r="AA269" s="155">
        <f t="shared" si="435"/>
        <v>0</v>
      </c>
      <c r="AB269" s="155">
        <f t="shared" si="435"/>
        <v>0</v>
      </c>
      <c r="AC269" s="155">
        <f t="shared" si="435"/>
        <v>0</v>
      </c>
      <c r="AD269" s="155">
        <f t="shared" si="435"/>
        <v>-1773542.4442317549</v>
      </c>
      <c r="AE269" s="155">
        <f t="shared" si="435"/>
        <v>0</v>
      </c>
      <c r="AF269" s="155">
        <f t="shared" si="435"/>
        <v>0</v>
      </c>
      <c r="AG269" s="155">
        <f t="shared" si="435"/>
        <v>-1773542.4442317549</v>
      </c>
      <c r="AH269" s="155">
        <f t="shared" si="435"/>
        <v>0</v>
      </c>
      <c r="AI269" s="155">
        <f t="shared" si="435"/>
        <v>0</v>
      </c>
      <c r="AJ269" s="155">
        <f t="shared" si="435"/>
        <v>-1773542.4442317549</v>
      </c>
      <c r="AK269" s="155">
        <f t="shared" si="435"/>
        <v>0</v>
      </c>
      <c r="AL269" s="155">
        <f t="shared" si="435"/>
        <v>0</v>
      </c>
      <c r="AM269" s="155">
        <f t="shared" si="435"/>
        <v>-1773542.4442317549</v>
      </c>
      <c r="AN269" s="155">
        <f t="shared" si="435"/>
        <v>0</v>
      </c>
    </row>
    <row r="270" spans="1:41" x14ac:dyDescent="0.15">
      <c r="A270" s="39" t="s">
        <v>103</v>
      </c>
      <c r="G270" s="155"/>
      <c r="H270" s="155"/>
    </row>
    <row r="271" spans="1:41" x14ac:dyDescent="0.15">
      <c r="A271" s="39" t="s">
        <v>97</v>
      </c>
      <c r="G271" s="155"/>
      <c r="H271" s="155"/>
      <c r="J271" s="155">
        <f>-'Reg Asset and Liab 2018-2020'!K31</f>
        <v>-93725.455633322112</v>
      </c>
      <c r="M271" s="155">
        <f>-'Reg Asset and Liab 2018-2020'!N31</f>
        <v>-93725.455633322112</v>
      </c>
      <c r="Q271" s="155">
        <f>-'Reg Asset and Liab 2018-2020'!Q31</f>
        <v>-85780.019257572611</v>
      </c>
      <c r="T271" s="155">
        <f>-'Reg Asset and Liab 2018-2020'!T31</f>
        <v>-85780.019257572611</v>
      </c>
      <c r="W271" s="155">
        <f>-'Reg Asset and Liab 2018-2020'!W31</f>
        <v>-85780.019257572611</v>
      </c>
      <c r="Z271" s="155">
        <f>-'Reg Asset and Liab 2018-2020'!Z31</f>
        <v>-85780.019257572611</v>
      </c>
      <c r="AD271" s="155">
        <f>-'Reg Asset and Liab 2018-2020'!AC31</f>
        <v>-79961.400003741815</v>
      </c>
      <c r="AE271" s="155">
        <f>-'Reg Asset and Liab 2018-2020'!AD31</f>
        <v>0</v>
      </c>
      <c r="AG271" s="155">
        <f>-'Reg Asset and Liab 2018-2020'!AF31</f>
        <v>-79961.400003741815</v>
      </c>
      <c r="AJ271" s="155">
        <f>-'Reg Asset and Liab 2018-2020'!AI31</f>
        <v>-79961.400003741815</v>
      </c>
      <c r="AM271" s="155">
        <f>-'Reg Asset and Liab 2018-2020'!AL31</f>
        <v>-79961.400003741815</v>
      </c>
    </row>
    <row r="272" spans="1:41" x14ac:dyDescent="0.15">
      <c r="A272" s="39" t="s">
        <v>104</v>
      </c>
      <c r="G272" s="155"/>
      <c r="H272" s="187"/>
      <c r="I272" s="187"/>
      <c r="J272" s="187">
        <f>-'Reg Asset and Liab 2018-2020'!K35+-'Reg Asset and Liab 2018-2020'!K43</f>
        <v>-2163723.5689221798</v>
      </c>
      <c r="K272" s="187"/>
      <c r="L272" s="187"/>
      <c r="M272" s="187">
        <f>-'Reg Asset and Liab 2018-2020'!N35+-'Reg Asset and Liab 2018-2020'!N43</f>
        <v>-2776418.3615922723</v>
      </c>
      <c r="N272" s="187"/>
      <c r="O272" s="187"/>
      <c r="P272" s="187"/>
      <c r="Q272" s="187">
        <f>-'Reg Asset and Liab 2018-2020'!Q35+-'Reg Asset and Liab 2018-2020'!Q43</f>
        <v>-3690341.3282811479</v>
      </c>
      <c r="R272" s="187">
        <f>-'Reg Asset and Liab 2018-2020'!R35+-'Reg Asset and Liab 2018-2020'!R43</f>
        <v>-1121587.4603042421</v>
      </c>
      <c r="S272" s="187"/>
      <c r="T272" s="187">
        <f>-'Reg Asset and Liab 2018-2020'!T35+-'Reg Asset and Liab 2018-2020'!T43</f>
        <v>-2587465.3936264729</v>
      </c>
      <c r="U272" s="187">
        <f>-'Reg Asset and Liab 2018-2020'!U35+-'Reg Asset and Liab 2018-2020'!U43</f>
        <v>0</v>
      </c>
      <c r="V272" s="187"/>
      <c r="W272" s="187">
        <f>-'Reg Asset and Liab 2018-2020'!W35+-'Reg Asset and Liab 2018-2020'!W43</f>
        <v>-3718409.2829780164</v>
      </c>
      <c r="X272" s="187"/>
      <c r="Y272" s="187"/>
      <c r="Z272" s="187">
        <f>-'Reg Asset and Liab 2018-2020'!Z35+-'Reg Asset and Liab 2018-2020'!Z43</f>
        <v>-3718409.2829780164</v>
      </c>
      <c r="AA272" s="187"/>
      <c r="AB272" s="187"/>
      <c r="AC272" s="187"/>
      <c r="AD272" s="187">
        <f>-'Reg Asset and Liab 2018-2020'!AC35+-'Reg Asset and Liab 2018-2020'!AC43</f>
        <v>-3952671.9357237034</v>
      </c>
      <c r="AE272" s="187">
        <f>-'Reg Asset and Liab 2018-2020'!AD35+-'Reg Asset and Liab 2018-2020'!AD43</f>
        <v>-1203306.5863868536</v>
      </c>
      <c r="AF272" s="187"/>
      <c r="AG272" s="187">
        <f>-'Reg Asset and Liab 2018-2020'!AF35+-'Reg Asset and Liab 2018-2020'!AF43</f>
        <v>-2749365.3493368495</v>
      </c>
      <c r="AH272" s="187"/>
      <c r="AI272" s="187"/>
      <c r="AJ272" s="187">
        <f>-'Reg Asset and Liab 2018-2020'!AI35+-'Reg Asset and Liab 2018-2020'!AI43</f>
        <v>-3952671.9357237034</v>
      </c>
      <c r="AK272" s="187"/>
      <c r="AL272" s="187"/>
      <c r="AM272" s="187">
        <f>-'Reg Asset and Liab 2018-2020'!AL35+-'Reg Asset and Liab 2018-2020'!AL43</f>
        <v>-3952671.9357237034</v>
      </c>
      <c r="AN272" s="187"/>
    </row>
    <row r="273" spans="1:41" x14ac:dyDescent="0.15">
      <c r="A273" s="39" t="s">
        <v>81</v>
      </c>
      <c r="G273" s="155"/>
      <c r="H273" s="156"/>
      <c r="I273" s="156"/>
      <c r="J273" s="156">
        <f>-'Reg Asset and Liab 2018-2020'!K39</f>
        <v>48511.337870278468</v>
      </c>
      <c r="K273" s="156"/>
      <c r="L273" s="156"/>
      <c r="M273" s="156">
        <f>-'Reg Asset and Liab 2018-2020'!N39</f>
        <v>48511.337870278468</v>
      </c>
      <c r="N273" s="156"/>
      <c r="O273" s="156"/>
      <c r="P273" s="156"/>
      <c r="Q273" s="156">
        <f>-'Reg Asset and Liab 2018-2020'!Q39</f>
        <v>48511.337870278468</v>
      </c>
      <c r="R273" s="156"/>
      <c r="S273" s="156"/>
      <c r="T273" s="156">
        <f>-'Reg Asset and Liab 2018-2020'!T39</f>
        <v>48511.337870278468</v>
      </c>
      <c r="U273" s="156"/>
      <c r="V273" s="156"/>
      <c r="W273" s="156">
        <f>-'Reg Asset and Liab 2018-2020'!W39</f>
        <v>48511.337870278468</v>
      </c>
      <c r="X273" s="156"/>
      <c r="Y273" s="156"/>
      <c r="Z273" s="156">
        <f>-'Reg Asset and Liab 2018-2020'!Z39</f>
        <v>48511.337870278468</v>
      </c>
      <c r="AA273" s="156"/>
      <c r="AB273" s="156"/>
      <c r="AC273" s="156"/>
      <c r="AD273" s="156">
        <f>-'Reg Asset and Liab 2018-2020'!AC39</f>
        <v>48511.337870278468</v>
      </c>
      <c r="AE273" s="156">
        <f>-'Reg Asset and Liab 2018-2020'!AD39</f>
        <v>0</v>
      </c>
      <c r="AF273" s="156"/>
      <c r="AG273" s="156">
        <f>-'Reg Asset and Liab 2018-2020'!AF39</f>
        <v>48511.337870278468</v>
      </c>
      <c r="AH273" s="156"/>
      <c r="AI273" s="156"/>
      <c r="AJ273" s="156">
        <f>-'Reg Asset and Liab 2018-2020'!AI39</f>
        <v>48511.337870278468</v>
      </c>
      <c r="AK273" s="156"/>
      <c r="AL273" s="156"/>
      <c r="AM273" s="156">
        <f>-'Reg Asset and Liab 2018-2020'!AL39</f>
        <v>48511.337870278468</v>
      </c>
      <c r="AN273" s="156"/>
    </row>
    <row r="274" spans="1:41" x14ac:dyDescent="0.15">
      <c r="G274" s="155"/>
      <c r="H274" s="155">
        <f t="shared" ref="H274:M274" si="436">SUM(H271:H273)</f>
        <v>0</v>
      </c>
      <c r="I274" s="155">
        <f t="shared" si="436"/>
        <v>0</v>
      </c>
      <c r="J274" s="155">
        <f t="shared" si="436"/>
        <v>-2208937.6866852236</v>
      </c>
      <c r="K274" s="155">
        <f t="shared" si="436"/>
        <v>0</v>
      </c>
      <c r="L274" s="155">
        <f t="shared" si="436"/>
        <v>0</v>
      </c>
      <c r="M274" s="155">
        <f t="shared" si="436"/>
        <v>-2821632.4793553161</v>
      </c>
      <c r="N274" s="155">
        <f t="shared" ref="N274:AG274" si="437">SUM(N271:N273)</f>
        <v>0</v>
      </c>
      <c r="O274" s="155">
        <f t="shared" si="437"/>
        <v>0</v>
      </c>
      <c r="P274" s="155">
        <f t="shared" si="437"/>
        <v>0</v>
      </c>
      <c r="Q274" s="155">
        <f t="shared" si="437"/>
        <v>-3727610.009668442</v>
      </c>
      <c r="R274" s="155">
        <f t="shared" si="437"/>
        <v>-1121587.4603042421</v>
      </c>
      <c r="S274" s="155">
        <f t="shared" si="437"/>
        <v>0</v>
      </c>
      <c r="T274" s="155">
        <f t="shared" si="437"/>
        <v>-2624734.075013767</v>
      </c>
      <c r="U274" s="155">
        <f t="shared" si="437"/>
        <v>0</v>
      </c>
      <c r="V274" s="155">
        <f t="shared" si="437"/>
        <v>0</v>
      </c>
      <c r="W274" s="155">
        <f t="shared" si="437"/>
        <v>-3755677.9643653105</v>
      </c>
      <c r="X274" s="155">
        <f t="shared" si="437"/>
        <v>0</v>
      </c>
      <c r="Y274" s="155">
        <f t="shared" si="437"/>
        <v>0</v>
      </c>
      <c r="Z274" s="155">
        <f t="shared" si="437"/>
        <v>-3755677.9643653105</v>
      </c>
      <c r="AA274" s="155">
        <f t="shared" si="437"/>
        <v>0</v>
      </c>
      <c r="AB274" s="155">
        <f t="shared" si="437"/>
        <v>0</v>
      </c>
      <c r="AC274" s="155">
        <f t="shared" si="437"/>
        <v>0</v>
      </c>
      <c r="AD274" s="155">
        <f t="shared" si="437"/>
        <v>-3984121.9978571669</v>
      </c>
      <c r="AE274" s="155">
        <f t="shared" si="437"/>
        <v>-1203306.5863868536</v>
      </c>
      <c r="AF274" s="155">
        <f t="shared" si="437"/>
        <v>0</v>
      </c>
      <c r="AG274" s="155">
        <f t="shared" si="437"/>
        <v>-2780815.4114703131</v>
      </c>
      <c r="AH274" s="155">
        <f t="shared" ref="AH274:AN274" si="438">SUM(AH271:AH273)</f>
        <v>0</v>
      </c>
      <c r="AI274" s="155">
        <f t="shared" si="438"/>
        <v>0</v>
      </c>
      <c r="AJ274" s="155">
        <f t="shared" si="438"/>
        <v>-3984121.9978571669</v>
      </c>
      <c r="AK274" s="155">
        <f t="shared" si="438"/>
        <v>0</v>
      </c>
      <c r="AL274" s="155">
        <f t="shared" si="438"/>
        <v>0</v>
      </c>
      <c r="AM274" s="155">
        <f t="shared" si="438"/>
        <v>-3984121.9978571669</v>
      </c>
      <c r="AN274" s="155">
        <f t="shared" si="438"/>
        <v>0</v>
      </c>
      <c r="AO274" s="155"/>
    </row>
    <row r="275" spans="1:41" x14ac:dyDescent="0.15">
      <c r="G275" s="155"/>
      <c r="H275" s="155"/>
    </row>
    <row r="276" spans="1:41" ht="9" thickBot="1" x14ac:dyDescent="0.2">
      <c r="A276" s="39" t="s">
        <v>105</v>
      </c>
      <c r="G276" s="155"/>
      <c r="H276" s="181">
        <f>H224+H269+H274</f>
        <v>-11185.59913482997</v>
      </c>
      <c r="I276" s="181">
        <f>I224+I269+I274</f>
        <v>-11185.59913482997</v>
      </c>
      <c r="J276" s="181">
        <f>J224+J269+J274</f>
        <v>-28010017.140352104</v>
      </c>
      <c r="K276" s="181">
        <f t="shared" ref="K276:AN276" si="439">K224+K269+K274</f>
        <v>-11185.59913482997</v>
      </c>
      <c r="L276" s="181">
        <f t="shared" si="439"/>
        <v>-11185.59913482997</v>
      </c>
      <c r="M276" s="181">
        <f t="shared" si="439"/>
        <v>-17742317.330941316</v>
      </c>
      <c r="N276" s="181">
        <f t="shared" si="439"/>
        <v>0</v>
      </c>
      <c r="O276" s="181">
        <f t="shared" si="439"/>
        <v>-11185.59913482997</v>
      </c>
      <c r="P276" s="181">
        <f t="shared" si="439"/>
        <v>-11185.59913482997</v>
      </c>
      <c r="Q276" s="181">
        <f t="shared" si="439"/>
        <v>-15394568.137889409</v>
      </c>
      <c r="R276" s="181">
        <f t="shared" si="439"/>
        <v>-291021.67048073839</v>
      </c>
      <c r="S276" s="181">
        <f t="shared" si="439"/>
        <v>-11185.59913482997</v>
      </c>
      <c r="T276" s="181">
        <f t="shared" si="439"/>
        <v>-16907008.480256092</v>
      </c>
      <c r="U276" s="181">
        <f t="shared" si="439"/>
        <v>-11185.59913482997</v>
      </c>
      <c r="V276" s="181">
        <f t="shared" si="439"/>
        <v>-11185.59913482997</v>
      </c>
      <c r="W276" s="181">
        <f t="shared" si="439"/>
        <v>-16110506.006362665</v>
      </c>
      <c r="X276" s="181">
        <f t="shared" si="439"/>
        <v>-11185.59913482997</v>
      </c>
      <c r="Y276" s="181">
        <f t="shared" si="439"/>
        <v>-11185.59913482997</v>
      </c>
      <c r="Z276" s="181">
        <f t="shared" si="439"/>
        <v>-16700973.075138614</v>
      </c>
      <c r="AA276" s="181">
        <f t="shared" si="439"/>
        <v>0</v>
      </c>
      <c r="AB276" s="181">
        <f t="shared" si="439"/>
        <v>-11185.59913482997</v>
      </c>
      <c r="AC276" s="181">
        <f t="shared" si="439"/>
        <v>-11185.59913482997</v>
      </c>
      <c r="AD276" s="181">
        <f t="shared" si="439"/>
        <v>-5493306.4272076096</v>
      </c>
      <c r="AE276" s="181">
        <f t="shared" si="439"/>
        <v>-622980.71953930194</v>
      </c>
      <c r="AF276" s="181">
        <f t="shared" si="439"/>
        <v>300384.52796612203</v>
      </c>
      <c r="AG276" s="181">
        <f t="shared" si="439"/>
        <v>-7450627.4941689018</v>
      </c>
      <c r="AH276" s="181">
        <f t="shared" si="439"/>
        <v>-11185.59913482997</v>
      </c>
      <c r="AI276" s="181">
        <f t="shared" si="439"/>
        <v>-11185.59913482997</v>
      </c>
      <c r="AJ276" s="181">
        <f t="shared" si="439"/>
        <v>-6313751.6144179255</v>
      </c>
      <c r="AK276" s="181">
        <f t="shared" si="439"/>
        <v>-11185.59913482997</v>
      </c>
      <c r="AL276" s="181">
        <f t="shared" si="439"/>
        <v>-11185.59913482997</v>
      </c>
      <c r="AM276" s="181">
        <f t="shared" si="439"/>
        <v>-7457540.4725500531</v>
      </c>
      <c r="AN276" s="181">
        <f t="shared" si="439"/>
        <v>0</v>
      </c>
    </row>
    <row r="277" spans="1:41" x14ac:dyDescent="0.15">
      <c r="G277" s="155"/>
      <c r="H277" s="155">
        <f t="shared" ref="H277:AM277" si="440">+H276-H14</f>
        <v>8.1982889241771773E-6</v>
      </c>
      <c r="I277" s="155">
        <f t="shared" si="440"/>
        <v>8.079079634626396E-6</v>
      </c>
      <c r="J277" s="155">
        <f t="shared" si="440"/>
        <v>1.2261328957974911</v>
      </c>
      <c r="K277" s="155">
        <f t="shared" si="440"/>
        <v>8.1982889241771773E-6</v>
      </c>
      <c r="L277" s="155">
        <f t="shared" si="440"/>
        <v>8.079079634626396E-6</v>
      </c>
      <c r="M277" s="155">
        <f t="shared" si="440"/>
        <v>2.7455389499664307E-6</v>
      </c>
      <c r="N277" s="155">
        <f t="shared" si="440"/>
        <v>0</v>
      </c>
      <c r="O277" s="155">
        <f t="shared" si="440"/>
        <v>9.2711725301342085E-6</v>
      </c>
      <c r="P277" s="155">
        <f t="shared" si="440"/>
        <v>8.079079634626396E-6</v>
      </c>
      <c r="Q277" s="155">
        <f t="shared" si="440"/>
        <v>-8.4880739450454712E-6</v>
      </c>
      <c r="R277" s="155">
        <f t="shared" si="440"/>
        <v>8.4536150097846985E-6</v>
      </c>
      <c r="S277" s="155">
        <f t="shared" si="440"/>
        <v>8.079079634626396E-6</v>
      </c>
      <c r="T277" s="155">
        <f t="shared" si="440"/>
        <v>-1.084059476852417E-6</v>
      </c>
      <c r="U277" s="155">
        <f t="shared" si="440"/>
        <v>8.1982889241771773E-6</v>
      </c>
      <c r="V277" s="155">
        <f t="shared" si="440"/>
        <v>8.079079634626396E-6</v>
      </c>
      <c r="W277" s="195">
        <f t="shared" si="440"/>
        <v>4.8801302909851074E-7</v>
      </c>
      <c r="X277" s="195">
        <f t="shared" si="440"/>
        <v>8.079079634626396E-6</v>
      </c>
      <c r="Y277" s="195">
        <f t="shared" si="440"/>
        <v>8.1982889241771773E-6</v>
      </c>
      <c r="Z277" s="195">
        <f>+Z276-Z14</f>
        <v>4.3660402297973633E-6</v>
      </c>
      <c r="AA277" s="195">
        <f t="shared" si="440"/>
        <v>0</v>
      </c>
      <c r="AB277" s="195">
        <f t="shared" si="440"/>
        <v>8.079079634626396E-6</v>
      </c>
      <c r="AC277" s="195">
        <f t="shared" si="440"/>
        <v>8.1982889241771773E-6</v>
      </c>
      <c r="AD277" s="195">
        <f t="shared" si="440"/>
        <v>1.9410625100135803E-5</v>
      </c>
      <c r="AE277" s="155">
        <f t="shared" si="440"/>
        <v>7.7313743531703949E-6</v>
      </c>
      <c r="AF277" s="155">
        <f t="shared" si="440"/>
        <v>8.086557500064373E-6</v>
      </c>
      <c r="AG277" s="155">
        <f t="shared" si="440"/>
        <v>1.1181458830833435E-5</v>
      </c>
      <c r="AH277" s="155">
        <f t="shared" si="440"/>
        <v>8.1982889241771773E-6</v>
      </c>
      <c r="AI277" s="155">
        <f t="shared" si="440"/>
        <v>8.079079634626396E-6</v>
      </c>
      <c r="AJ277" s="155">
        <f t="shared" si="440"/>
        <v>2.1308660507202148E-6</v>
      </c>
      <c r="AK277" s="155">
        <f t="shared" si="440"/>
        <v>8.079079634626396E-6</v>
      </c>
      <c r="AL277" s="155">
        <f t="shared" si="440"/>
        <v>8.1982889241771773E-6</v>
      </c>
      <c r="AM277" s="155">
        <f t="shared" si="440"/>
        <v>2.0079314708709717E-6</v>
      </c>
      <c r="AN277" s="155">
        <f t="shared" ref="AN277" si="441">+AN276-AN14</f>
        <v>0</v>
      </c>
    </row>
    <row r="278" spans="1:41" x14ac:dyDescent="0.15">
      <c r="G278" s="155"/>
      <c r="H278" s="155"/>
    </row>
    <row r="279" spans="1:41" x14ac:dyDescent="0.15">
      <c r="A279" s="180" t="s">
        <v>106</v>
      </c>
      <c r="G279" s="155"/>
      <c r="H279" s="155"/>
    </row>
    <row r="280" spans="1:41" x14ac:dyDescent="0.15">
      <c r="G280" s="155"/>
      <c r="H280" s="155"/>
    </row>
    <row r="281" spans="1:41" x14ac:dyDescent="0.15">
      <c r="A281" s="182" t="s">
        <v>107</v>
      </c>
      <c r="B281" s="182" t="s">
        <v>508</v>
      </c>
      <c r="G281" s="155"/>
      <c r="H281" s="155"/>
      <c r="N281" s="155">
        <v>2</v>
      </c>
      <c r="AA281" s="155">
        <v>5</v>
      </c>
      <c r="AN281" s="155">
        <v>8</v>
      </c>
      <c r="AO281" s="155"/>
    </row>
    <row r="282" spans="1:41" x14ac:dyDescent="0.15">
      <c r="A282" s="39" t="s">
        <v>58</v>
      </c>
      <c r="B282" s="39" t="s">
        <v>58</v>
      </c>
      <c r="E282" s="39">
        <f t="shared" ref="E282:E328" si="442">COUNTIF($A$27:$A$152,A282)</f>
        <v>1</v>
      </c>
      <c r="G282" s="172"/>
      <c r="H282" s="155">
        <f t="shared" ref="H282:I305" si="443">(SUMIF($A$176:$A$215,$A282,H$176:H$215)*0.35+SUMIF($A$226:$A$264,$A282,H$226:H$264)*0.06*0.65)*$N282</f>
        <v>0</v>
      </c>
      <c r="I282" s="155">
        <f t="shared" si="443"/>
        <v>0</v>
      </c>
      <c r="J282" s="155">
        <f t="shared" ref="J282:J320" si="444">(SUMIF($A$176:$A$215,$A282,J$176:J$215)*0.21+SUMIF($A$226:$A$264,$A282,J$226:J$264)*0.05*0.79)*$N282</f>
        <v>915553.07792673167</v>
      </c>
      <c r="K282" s="155">
        <f t="shared" ref="K282:L305" si="445">(SUMIF($A$176:$A$215,$A282,K$176:K$215)*0.35+SUMIF($A$226:$A$264,$A282,K$226:K$264)*0.06*0.65)*$N282</f>
        <v>0</v>
      </c>
      <c r="L282" s="155">
        <f t="shared" si="445"/>
        <v>0</v>
      </c>
      <c r="M282" s="155">
        <f t="shared" ref="M282:M320" si="446">(SUMIF($A$176:$A$215,$A282,M$176:M$215)*0.21+SUMIF($A$226:$A$264,$A282,M$226:M$264)*0.05*0.79)*$N282</f>
        <v>915553.07792673167</v>
      </c>
      <c r="N282" s="172">
        <f>VLOOKUP($A282,'E&amp;G Splits'!$A$5:$I$45,N$281,FALSE)</f>
        <v>1</v>
      </c>
      <c r="O282" s="155">
        <f t="shared" ref="O282:P305" si="447">(SUMIF($A$176:$A$215,$A282,O$176:O$215)*0.35+SUMIF($A$226:$A$264,$A282,O$226:O$264)*0.06*0.65)*$AA282</f>
        <v>0</v>
      </c>
      <c r="P282" s="155">
        <f t="shared" si="447"/>
        <v>0</v>
      </c>
      <c r="Q282" s="155">
        <f t="shared" ref="Q282:Q320" si="448">(SUMIF($A$176:$A$215,$A282,Q$176:Q$215)*0.21+SUMIF($A$226:$A$264,$A282,Q$226:Q$264)*0.05*0.79)*$AA282</f>
        <v>-325180.46682421782</v>
      </c>
      <c r="R282" s="155">
        <f t="shared" ref="R282:S305" si="449">(SUMIF($A$176:$A$215,$A282,R$176:R$215)*0.35+SUMIF($A$226:$A$264,$A282,R$226:R$264)*0.06*0.65)*$AA282</f>
        <v>0</v>
      </c>
      <c r="S282" s="155">
        <f t="shared" si="449"/>
        <v>0</v>
      </c>
      <c r="T282" s="155">
        <f>(SUMIF($A$176:$A$215,$A282,T$176:T$215)*0.21+SUMIF($A$226:$A$264,$A282,T$226:T$264)*0.05*0.79)*$AA282</f>
        <v>-325180.46682421782</v>
      </c>
      <c r="U282" s="155">
        <f t="shared" ref="U282:V305" si="450">(SUMIF($A$176:$A$215,$A282,U$176:U$215)*0.35+SUMIF($A$226:$A$264,$A282,U$226:U$264)*0.06*0.65)*$AA282</f>
        <v>0</v>
      </c>
      <c r="V282" s="155">
        <f t="shared" si="450"/>
        <v>0</v>
      </c>
      <c r="W282" s="155">
        <f t="shared" ref="W282:W320" si="451">(SUMIF($A$176:$A$215,$A282,W$176:W$215)*0.21+SUMIF($A$226:$A$264,$A282,W$226:W$264)*0.05*0.79)*$AA282</f>
        <v>-325180.46682421782</v>
      </c>
      <c r="X282" s="155">
        <f t="shared" ref="X282:Y305" si="452">(SUMIF($A$176:$A$215,$A282,X$176:X$215)*0.35+SUMIF($A$226:$A$264,$A282,X$226:X$264)*0.06*0.65)*$AA282</f>
        <v>0</v>
      </c>
      <c r="Y282" s="155">
        <f t="shared" si="452"/>
        <v>0</v>
      </c>
      <c r="Z282" s="155">
        <f t="shared" ref="Z282:Z320" si="453">(SUMIF($A$176:$A$215,$A282,Z$176:Z$215)*0.21+SUMIF($A$226:$A$264,$A282,Z$226:Z$264)*0.05*0.79)*$AA282</f>
        <v>-325180.46682421782</v>
      </c>
      <c r="AA282" s="172">
        <f>VLOOKUP($A282,'E&amp;G Splits'!$A$5:$I$45,AA$281,FALSE)</f>
        <v>1</v>
      </c>
      <c r="AB282" s="155">
        <f t="shared" ref="AB282:AC305" si="454">(SUMIF($A$176:$A$215,$A282,AB$176:AB$215)*0.35+SUMIF($A$226:$A$264,$A282,AB$226:AB$264)*0.06*0.65)*$AN282</f>
        <v>0</v>
      </c>
      <c r="AC282" s="155">
        <f t="shared" si="454"/>
        <v>0</v>
      </c>
      <c r="AD282" s="155">
        <f t="shared" ref="AD282:AM291" si="455">(SUMIF($A$176:$A$215,$A282,AD$176:AD$215)*0.21+SUMIF($A$226:$A$264,$A282,AD$226:AD$264)*0.05*0.79)*$AN282</f>
        <v>-15300.636261034049</v>
      </c>
      <c r="AE282" s="155">
        <f t="shared" si="455"/>
        <v>0</v>
      </c>
      <c r="AF282" s="155">
        <f t="shared" si="455"/>
        <v>0</v>
      </c>
      <c r="AG282" s="155">
        <f t="shared" si="455"/>
        <v>-15300.636261034049</v>
      </c>
      <c r="AH282" s="155">
        <f t="shared" si="455"/>
        <v>0</v>
      </c>
      <c r="AI282" s="155">
        <f t="shared" si="455"/>
        <v>0</v>
      </c>
      <c r="AJ282" s="155">
        <f t="shared" si="455"/>
        <v>-15300.636261034049</v>
      </c>
      <c r="AK282" s="155">
        <f t="shared" si="455"/>
        <v>0</v>
      </c>
      <c r="AL282" s="155">
        <f t="shared" si="455"/>
        <v>0</v>
      </c>
      <c r="AM282" s="155">
        <f t="shared" si="455"/>
        <v>-15300.636261034049</v>
      </c>
      <c r="AN282" s="172">
        <f>VLOOKUP($A282,'E&amp;G Splits'!$A$5:$I$45,AN$281,FALSE)</f>
        <v>1</v>
      </c>
      <c r="AO282" s="172"/>
    </row>
    <row r="283" spans="1:41" x14ac:dyDescent="0.15">
      <c r="A283" s="39" t="s">
        <v>90</v>
      </c>
      <c r="B283" s="39" t="s">
        <v>90</v>
      </c>
      <c r="E283" s="39">
        <f t="shared" si="442"/>
        <v>1</v>
      </c>
      <c r="G283" s="172"/>
      <c r="H283" s="155">
        <f t="shared" si="443"/>
        <v>0</v>
      </c>
      <c r="I283" s="155">
        <f t="shared" si="443"/>
        <v>0</v>
      </c>
      <c r="J283" s="155">
        <f t="shared" si="444"/>
        <v>0</v>
      </c>
      <c r="K283" s="155">
        <f t="shared" si="445"/>
        <v>0</v>
      </c>
      <c r="L283" s="155">
        <f t="shared" si="445"/>
        <v>0</v>
      </c>
      <c r="M283" s="155">
        <f t="shared" si="446"/>
        <v>0</v>
      </c>
      <c r="N283" s="172">
        <f>VLOOKUP($A283,'E&amp;G Splits'!$A$5:$I$45,N$281,FALSE)</f>
        <v>0</v>
      </c>
      <c r="O283" s="155">
        <f t="shared" si="447"/>
        <v>0</v>
      </c>
      <c r="P283" s="155">
        <f t="shared" si="447"/>
        <v>0</v>
      </c>
      <c r="Q283" s="155">
        <f t="shared" si="448"/>
        <v>0</v>
      </c>
      <c r="R283" s="155">
        <f t="shared" si="449"/>
        <v>0</v>
      </c>
      <c r="S283" s="155">
        <f t="shared" si="449"/>
        <v>0</v>
      </c>
      <c r="T283" s="155">
        <f t="shared" ref="T283:T320" si="456">(SUMIF($A$176:$A$215,$A283,T$176:T$215)*0.21+SUMIF($A$226:$A$264,$A283,T$226:T$264)*0.05*0.79)*$AA283</f>
        <v>0</v>
      </c>
      <c r="U283" s="155">
        <f t="shared" si="450"/>
        <v>0</v>
      </c>
      <c r="V283" s="155">
        <f t="shared" si="450"/>
        <v>0</v>
      </c>
      <c r="W283" s="155">
        <f t="shared" si="451"/>
        <v>0</v>
      </c>
      <c r="X283" s="155">
        <f t="shared" si="452"/>
        <v>0</v>
      </c>
      <c r="Y283" s="155">
        <f t="shared" si="452"/>
        <v>0</v>
      </c>
      <c r="Z283" s="155">
        <f t="shared" si="453"/>
        <v>0</v>
      </c>
      <c r="AA283" s="172">
        <f>VLOOKUP($A283,'E&amp;G Splits'!$A$5:$I$45,AA$281,FALSE)</f>
        <v>0</v>
      </c>
      <c r="AB283" s="155">
        <f t="shared" si="454"/>
        <v>0</v>
      </c>
      <c r="AC283" s="155">
        <f t="shared" si="454"/>
        <v>0</v>
      </c>
      <c r="AD283" s="155">
        <f t="shared" si="455"/>
        <v>0</v>
      </c>
      <c r="AE283" s="155">
        <f t="shared" si="455"/>
        <v>0</v>
      </c>
      <c r="AF283" s="155">
        <f t="shared" si="455"/>
        <v>0</v>
      </c>
      <c r="AG283" s="155">
        <f t="shared" si="455"/>
        <v>0</v>
      </c>
      <c r="AH283" s="155">
        <f t="shared" si="455"/>
        <v>0</v>
      </c>
      <c r="AI283" s="155">
        <f t="shared" si="455"/>
        <v>0</v>
      </c>
      <c r="AJ283" s="155">
        <f t="shared" si="455"/>
        <v>0</v>
      </c>
      <c r="AK283" s="155">
        <f t="shared" si="455"/>
        <v>0</v>
      </c>
      <c r="AL283" s="155">
        <f t="shared" si="455"/>
        <v>0</v>
      </c>
      <c r="AM283" s="155">
        <f t="shared" si="455"/>
        <v>0</v>
      </c>
      <c r="AN283" s="172">
        <f>VLOOKUP($A283,'E&amp;G Splits'!$A$5:$I$45,AN$281,FALSE)</f>
        <v>0</v>
      </c>
      <c r="AO283" s="172"/>
    </row>
    <row r="284" spans="1:41" x14ac:dyDescent="0.15">
      <c r="A284" s="39" t="s">
        <v>39</v>
      </c>
      <c r="B284" s="39" t="s">
        <v>39</v>
      </c>
      <c r="E284" s="39">
        <f t="shared" si="442"/>
        <v>1</v>
      </c>
      <c r="G284" s="172"/>
      <c r="H284" s="155">
        <f t="shared" si="443"/>
        <v>0</v>
      </c>
      <c r="I284" s="155">
        <f t="shared" si="443"/>
        <v>0</v>
      </c>
      <c r="J284" s="155">
        <f t="shared" si="444"/>
        <v>50225.120954999999</v>
      </c>
      <c r="K284" s="155">
        <f t="shared" si="445"/>
        <v>0</v>
      </c>
      <c r="L284" s="155">
        <f t="shared" si="445"/>
        <v>0</v>
      </c>
      <c r="M284" s="155">
        <f t="shared" si="446"/>
        <v>50225.120954999999</v>
      </c>
      <c r="N284" s="172">
        <f>VLOOKUP($A284,'E&amp;G Splits'!$A$5:$I$45,N$281,FALSE)</f>
        <v>1</v>
      </c>
      <c r="O284" s="155">
        <f t="shared" si="447"/>
        <v>0</v>
      </c>
      <c r="P284" s="155">
        <f t="shared" si="447"/>
        <v>0</v>
      </c>
      <c r="Q284" s="155">
        <f t="shared" si="448"/>
        <v>3863.4700750000056</v>
      </c>
      <c r="R284" s="155">
        <f t="shared" si="449"/>
        <v>0</v>
      </c>
      <c r="S284" s="155">
        <f t="shared" si="449"/>
        <v>0</v>
      </c>
      <c r="T284" s="155">
        <f t="shared" si="456"/>
        <v>3863.4700750000056</v>
      </c>
      <c r="U284" s="155">
        <f t="shared" si="450"/>
        <v>0</v>
      </c>
      <c r="V284" s="155">
        <f t="shared" si="450"/>
        <v>0</v>
      </c>
      <c r="W284" s="155">
        <f t="shared" si="451"/>
        <v>3863.4700750000056</v>
      </c>
      <c r="X284" s="155">
        <f t="shared" si="452"/>
        <v>0</v>
      </c>
      <c r="Y284" s="155">
        <f t="shared" si="452"/>
        <v>0</v>
      </c>
      <c r="Z284" s="155">
        <f t="shared" si="453"/>
        <v>3863.4700750000056</v>
      </c>
      <c r="AA284" s="172">
        <f>VLOOKUP($A284,'E&amp;G Splits'!$A$5:$I$45,AA$281,FALSE)</f>
        <v>1</v>
      </c>
      <c r="AB284" s="155">
        <f t="shared" si="454"/>
        <v>0</v>
      </c>
      <c r="AC284" s="155">
        <f t="shared" si="454"/>
        <v>0</v>
      </c>
      <c r="AD284" s="155">
        <f t="shared" si="455"/>
        <v>-19317.355364999996</v>
      </c>
      <c r="AE284" s="155">
        <f t="shared" si="455"/>
        <v>0</v>
      </c>
      <c r="AF284" s="155">
        <f t="shared" si="455"/>
        <v>0</v>
      </c>
      <c r="AG284" s="155">
        <f t="shared" si="455"/>
        <v>-19317.355364999996</v>
      </c>
      <c r="AH284" s="155">
        <f t="shared" si="455"/>
        <v>0</v>
      </c>
      <c r="AI284" s="155">
        <f t="shared" si="455"/>
        <v>0</v>
      </c>
      <c r="AJ284" s="155">
        <f t="shared" si="455"/>
        <v>-19317.355364999996</v>
      </c>
      <c r="AK284" s="155">
        <f t="shared" si="455"/>
        <v>0</v>
      </c>
      <c r="AL284" s="155">
        <f t="shared" si="455"/>
        <v>0</v>
      </c>
      <c r="AM284" s="155">
        <f t="shared" si="455"/>
        <v>-19317.355364999996</v>
      </c>
      <c r="AN284" s="172">
        <f>VLOOKUP($A284,'E&amp;G Splits'!$A$5:$I$45,AN$281,FALSE)</f>
        <v>1</v>
      </c>
      <c r="AO284" s="172"/>
    </row>
    <row r="285" spans="1:41" x14ac:dyDescent="0.15">
      <c r="A285" s="39" t="s">
        <v>88</v>
      </c>
      <c r="B285" s="39" t="s">
        <v>88</v>
      </c>
      <c r="E285" s="39">
        <f t="shared" si="442"/>
        <v>1</v>
      </c>
      <c r="G285" s="172"/>
      <c r="H285" s="155">
        <f t="shared" si="443"/>
        <v>0</v>
      </c>
      <c r="I285" s="155">
        <f t="shared" si="443"/>
        <v>0</v>
      </c>
      <c r="J285" s="155">
        <f t="shared" si="444"/>
        <v>0</v>
      </c>
      <c r="K285" s="155">
        <f t="shared" si="445"/>
        <v>0</v>
      </c>
      <c r="L285" s="155">
        <f t="shared" si="445"/>
        <v>0</v>
      </c>
      <c r="M285" s="155">
        <f t="shared" si="446"/>
        <v>0</v>
      </c>
      <c r="N285" s="172">
        <f>VLOOKUP($A285,'E&amp;G Splits'!$A$5:$I$45,N$281,FALSE)</f>
        <v>0</v>
      </c>
      <c r="O285" s="155">
        <f t="shared" si="447"/>
        <v>0</v>
      </c>
      <c r="P285" s="155">
        <f t="shared" si="447"/>
        <v>0</v>
      </c>
      <c r="Q285" s="155">
        <f t="shared" si="448"/>
        <v>0</v>
      </c>
      <c r="R285" s="155">
        <f t="shared" si="449"/>
        <v>0</v>
      </c>
      <c r="S285" s="155">
        <f t="shared" si="449"/>
        <v>0</v>
      </c>
      <c r="T285" s="155">
        <f t="shared" si="456"/>
        <v>0</v>
      </c>
      <c r="U285" s="155">
        <f t="shared" si="450"/>
        <v>0</v>
      </c>
      <c r="V285" s="155">
        <f t="shared" si="450"/>
        <v>0</v>
      </c>
      <c r="W285" s="155">
        <f t="shared" si="451"/>
        <v>0</v>
      </c>
      <c r="X285" s="155">
        <f t="shared" si="452"/>
        <v>0</v>
      </c>
      <c r="Y285" s="155">
        <f t="shared" si="452"/>
        <v>0</v>
      </c>
      <c r="Z285" s="155">
        <f t="shared" si="453"/>
        <v>0</v>
      </c>
      <c r="AA285" s="172">
        <f>VLOOKUP($A285,'E&amp;G Splits'!$A$5:$I$45,AA$281,FALSE)</f>
        <v>0</v>
      </c>
      <c r="AB285" s="155">
        <f t="shared" si="454"/>
        <v>0</v>
      </c>
      <c r="AC285" s="155">
        <f t="shared" si="454"/>
        <v>0</v>
      </c>
      <c r="AD285" s="155">
        <f t="shared" si="455"/>
        <v>0</v>
      </c>
      <c r="AE285" s="155">
        <f t="shared" si="455"/>
        <v>0</v>
      </c>
      <c r="AF285" s="155">
        <f t="shared" si="455"/>
        <v>0</v>
      </c>
      <c r="AG285" s="155">
        <f t="shared" si="455"/>
        <v>0</v>
      </c>
      <c r="AH285" s="155">
        <f t="shared" si="455"/>
        <v>0</v>
      </c>
      <c r="AI285" s="155">
        <f t="shared" si="455"/>
        <v>0</v>
      </c>
      <c r="AJ285" s="155">
        <f t="shared" si="455"/>
        <v>0</v>
      </c>
      <c r="AK285" s="155">
        <f t="shared" si="455"/>
        <v>0</v>
      </c>
      <c r="AL285" s="155">
        <f t="shared" si="455"/>
        <v>0</v>
      </c>
      <c r="AM285" s="155">
        <f t="shared" si="455"/>
        <v>0</v>
      </c>
      <c r="AN285" s="172">
        <f>VLOOKUP($A285,'E&amp;G Splits'!$A$5:$I$45,AN$281,FALSE)</f>
        <v>0</v>
      </c>
      <c r="AO285" s="172"/>
    </row>
    <row r="286" spans="1:41" x14ac:dyDescent="0.15">
      <c r="A286" s="39" t="s">
        <v>37</v>
      </c>
      <c r="B286" s="39" t="s">
        <v>37</v>
      </c>
      <c r="E286" s="39">
        <f t="shared" si="442"/>
        <v>1</v>
      </c>
      <c r="G286" s="172"/>
      <c r="H286" s="155">
        <f t="shared" si="443"/>
        <v>0</v>
      </c>
      <c r="I286" s="155">
        <f t="shared" si="443"/>
        <v>0</v>
      </c>
      <c r="J286" s="155">
        <f t="shared" si="444"/>
        <v>146832.82583999998</v>
      </c>
      <c r="K286" s="155">
        <f t="shared" si="445"/>
        <v>0</v>
      </c>
      <c r="L286" s="155">
        <f t="shared" si="445"/>
        <v>0</v>
      </c>
      <c r="M286" s="155">
        <f t="shared" si="446"/>
        <v>146832.82583999998</v>
      </c>
      <c r="N286" s="172">
        <f>VLOOKUP($A286,'E&amp;G Splits'!$A$5:$I$45,N$281,FALSE)</f>
        <v>1</v>
      </c>
      <c r="O286" s="155">
        <f t="shared" si="447"/>
        <v>0</v>
      </c>
      <c r="P286" s="155">
        <f t="shared" si="447"/>
        <v>0</v>
      </c>
      <c r="Q286" s="155">
        <f t="shared" si="448"/>
        <v>105418.43887269206</v>
      </c>
      <c r="R286" s="155">
        <f t="shared" si="449"/>
        <v>0</v>
      </c>
      <c r="S286" s="155">
        <f t="shared" si="449"/>
        <v>0</v>
      </c>
      <c r="T286" s="155">
        <f t="shared" si="456"/>
        <v>105418.43887269206</v>
      </c>
      <c r="U286" s="155">
        <f t="shared" si="450"/>
        <v>0</v>
      </c>
      <c r="V286" s="155">
        <f t="shared" si="450"/>
        <v>0</v>
      </c>
      <c r="W286" s="155">
        <f t="shared" si="451"/>
        <v>105418.43887269206</v>
      </c>
      <c r="X286" s="155">
        <f t="shared" si="452"/>
        <v>0</v>
      </c>
      <c r="Y286" s="155">
        <f t="shared" si="452"/>
        <v>0</v>
      </c>
      <c r="Z286" s="155">
        <f t="shared" si="453"/>
        <v>105418.43887269206</v>
      </c>
      <c r="AA286" s="172">
        <f>VLOOKUP($A286,'E&amp;G Splits'!$A$5:$I$45,AA$281,FALSE)</f>
        <v>1</v>
      </c>
      <c r="AB286" s="155">
        <f t="shared" si="454"/>
        <v>0</v>
      </c>
      <c r="AC286" s="155">
        <f t="shared" si="454"/>
        <v>0</v>
      </c>
      <c r="AD286" s="155">
        <f t="shared" si="455"/>
        <v>84711.245389038042</v>
      </c>
      <c r="AE286" s="155">
        <f t="shared" si="455"/>
        <v>0</v>
      </c>
      <c r="AF286" s="155">
        <f t="shared" si="455"/>
        <v>0</v>
      </c>
      <c r="AG286" s="155">
        <f t="shared" si="455"/>
        <v>84711.245389038042</v>
      </c>
      <c r="AH286" s="155">
        <f t="shared" si="455"/>
        <v>0</v>
      </c>
      <c r="AI286" s="155">
        <f t="shared" si="455"/>
        <v>0</v>
      </c>
      <c r="AJ286" s="155">
        <f t="shared" si="455"/>
        <v>84711.245389038042</v>
      </c>
      <c r="AK286" s="155">
        <f t="shared" si="455"/>
        <v>0</v>
      </c>
      <c r="AL286" s="155">
        <f t="shared" si="455"/>
        <v>0</v>
      </c>
      <c r="AM286" s="155">
        <f t="shared" si="455"/>
        <v>84711.245389038042</v>
      </c>
      <c r="AN286" s="172">
        <f>VLOOKUP($A286,'E&amp;G Splits'!$A$5:$I$45,AN$281,FALSE)</f>
        <v>1</v>
      </c>
      <c r="AO286" s="172"/>
    </row>
    <row r="287" spans="1:41" x14ac:dyDescent="0.15">
      <c r="A287" s="39" t="s">
        <v>77</v>
      </c>
      <c r="B287" s="39" t="s">
        <v>77</v>
      </c>
      <c r="E287" s="39">
        <f t="shared" si="442"/>
        <v>1</v>
      </c>
      <c r="G287" s="172"/>
      <c r="H287" s="155">
        <f t="shared" si="443"/>
        <v>0</v>
      </c>
      <c r="I287" s="155">
        <f t="shared" si="443"/>
        <v>0</v>
      </c>
      <c r="J287" s="155">
        <f t="shared" si="444"/>
        <v>59250.398900308195</v>
      </c>
      <c r="K287" s="155">
        <f t="shared" si="445"/>
        <v>0</v>
      </c>
      <c r="L287" s="155">
        <f t="shared" si="445"/>
        <v>0</v>
      </c>
      <c r="M287" s="155">
        <f t="shared" si="446"/>
        <v>59250.398900308195</v>
      </c>
      <c r="N287" s="172">
        <f>VLOOKUP($A287,'E&amp;G Splits'!$A$5:$I$45,N$281,FALSE)</f>
        <v>1</v>
      </c>
      <c r="O287" s="155">
        <f t="shared" si="447"/>
        <v>0</v>
      </c>
      <c r="P287" s="155">
        <f t="shared" si="447"/>
        <v>0</v>
      </c>
      <c r="Q287" s="155">
        <f t="shared" si="448"/>
        <v>59107.118859999726</v>
      </c>
      <c r="R287" s="155">
        <f t="shared" si="449"/>
        <v>0</v>
      </c>
      <c r="S287" s="155">
        <f t="shared" si="449"/>
        <v>0</v>
      </c>
      <c r="T287" s="155">
        <f t="shared" si="456"/>
        <v>59107.118859999726</v>
      </c>
      <c r="U287" s="155">
        <f t="shared" si="450"/>
        <v>0</v>
      </c>
      <c r="V287" s="155">
        <f t="shared" si="450"/>
        <v>0</v>
      </c>
      <c r="W287" s="155">
        <f t="shared" si="451"/>
        <v>59107.118859999726</v>
      </c>
      <c r="X287" s="155">
        <f t="shared" si="452"/>
        <v>0</v>
      </c>
      <c r="Y287" s="155">
        <f t="shared" si="452"/>
        <v>0</v>
      </c>
      <c r="Z287" s="155">
        <f t="shared" si="453"/>
        <v>59107.118859999726</v>
      </c>
      <c r="AA287" s="172">
        <f>VLOOKUP($A287,'E&amp;G Splits'!$A$5:$I$45,AA$281,FALSE)</f>
        <v>1</v>
      </c>
      <c r="AB287" s="155">
        <f t="shared" si="454"/>
        <v>0</v>
      </c>
      <c r="AC287" s="155">
        <f t="shared" si="454"/>
        <v>0</v>
      </c>
      <c r="AD287" s="155">
        <f t="shared" si="455"/>
        <v>59202.638055205127</v>
      </c>
      <c r="AE287" s="155">
        <f t="shared" si="455"/>
        <v>0</v>
      </c>
      <c r="AF287" s="155">
        <f t="shared" si="455"/>
        <v>0</v>
      </c>
      <c r="AG287" s="155">
        <f t="shared" si="455"/>
        <v>59202.638055205127</v>
      </c>
      <c r="AH287" s="155">
        <f t="shared" si="455"/>
        <v>0</v>
      </c>
      <c r="AI287" s="155">
        <f t="shared" si="455"/>
        <v>0</v>
      </c>
      <c r="AJ287" s="155">
        <f t="shared" si="455"/>
        <v>59202.638055205127</v>
      </c>
      <c r="AK287" s="155">
        <f t="shared" si="455"/>
        <v>0</v>
      </c>
      <c r="AL287" s="155">
        <f t="shared" si="455"/>
        <v>0</v>
      </c>
      <c r="AM287" s="155">
        <f t="shared" si="455"/>
        <v>59202.638055205127</v>
      </c>
      <c r="AN287" s="172">
        <f>VLOOKUP($A287,'E&amp;G Splits'!$A$5:$I$45,AN$281,FALSE)</f>
        <v>1</v>
      </c>
      <c r="AO287" s="172"/>
    </row>
    <row r="288" spans="1:41" x14ac:dyDescent="0.15">
      <c r="A288" s="39" t="s">
        <v>294</v>
      </c>
      <c r="B288" s="39" t="s">
        <v>69</v>
      </c>
      <c r="E288" s="39">
        <f t="shared" si="442"/>
        <v>0</v>
      </c>
      <c r="G288" s="172"/>
      <c r="H288" s="155">
        <f t="shared" si="443"/>
        <v>0</v>
      </c>
      <c r="I288" s="155">
        <f t="shared" si="443"/>
        <v>0</v>
      </c>
      <c r="J288" s="155">
        <f t="shared" si="444"/>
        <v>122554.63408914189</v>
      </c>
      <c r="K288" s="155">
        <f t="shared" si="445"/>
        <v>0</v>
      </c>
      <c r="L288" s="155">
        <f t="shared" si="445"/>
        <v>0</v>
      </c>
      <c r="M288" s="155">
        <f t="shared" si="446"/>
        <v>122554.63408914189</v>
      </c>
      <c r="N288" s="172">
        <f>VLOOKUP($A288,'E&amp;G Splits'!$A$5:$I$45,N$281,FALSE)</f>
        <v>0.8216</v>
      </c>
      <c r="O288" s="155">
        <f t="shared" si="447"/>
        <v>0</v>
      </c>
      <c r="P288" s="155">
        <f t="shared" si="447"/>
        <v>0</v>
      </c>
      <c r="Q288" s="155">
        <f t="shared" si="448"/>
        <v>122554.63630434753</v>
      </c>
      <c r="R288" s="155">
        <f t="shared" si="449"/>
        <v>0</v>
      </c>
      <c r="S288" s="155">
        <f t="shared" si="449"/>
        <v>0</v>
      </c>
      <c r="T288" s="155">
        <f t="shared" si="456"/>
        <v>122554.63630434753</v>
      </c>
      <c r="U288" s="155">
        <f t="shared" si="450"/>
        <v>0</v>
      </c>
      <c r="V288" s="155">
        <f t="shared" si="450"/>
        <v>0</v>
      </c>
      <c r="W288" s="155">
        <f t="shared" si="451"/>
        <v>122554.63630434753</v>
      </c>
      <c r="X288" s="155">
        <f t="shared" si="452"/>
        <v>0</v>
      </c>
      <c r="Y288" s="155">
        <f t="shared" si="452"/>
        <v>0</v>
      </c>
      <c r="Z288" s="155">
        <f t="shared" si="453"/>
        <v>122554.63630434753</v>
      </c>
      <c r="AA288" s="172">
        <f>VLOOKUP($A288,'E&amp;G Splits'!$A$5:$I$45,AA$281,FALSE)</f>
        <v>0.8216</v>
      </c>
      <c r="AB288" s="155">
        <f t="shared" si="454"/>
        <v>0</v>
      </c>
      <c r="AC288" s="155">
        <f t="shared" si="454"/>
        <v>0</v>
      </c>
      <c r="AD288" s="155">
        <f t="shared" si="455"/>
        <v>122890.40243120884</v>
      </c>
      <c r="AE288" s="155">
        <f t="shared" si="455"/>
        <v>0</v>
      </c>
      <c r="AF288" s="155">
        <f t="shared" si="455"/>
        <v>0</v>
      </c>
      <c r="AG288" s="155">
        <f t="shared" si="455"/>
        <v>122890.40243120884</v>
      </c>
      <c r="AH288" s="155">
        <f t="shared" si="455"/>
        <v>0</v>
      </c>
      <c r="AI288" s="155">
        <f t="shared" si="455"/>
        <v>0</v>
      </c>
      <c r="AJ288" s="155">
        <f t="shared" si="455"/>
        <v>122890.40243120884</v>
      </c>
      <c r="AK288" s="155">
        <f t="shared" si="455"/>
        <v>0</v>
      </c>
      <c r="AL288" s="155">
        <f t="shared" si="455"/>
        <v>0</v>
      </c>
      <c r="AM288" s="155">
        <f t="shared" si="455"/>
        <v>122890.40243120884</v>
      </c>
      <c r="AN288" s="172">
        <f>VLOOKUP($A288,'E&amp;G Splits'!$A$5:$I$45,AN$281,FALSE)</f>
        <v>0.8216</v>
      </c>
      <c r="AO288" s="172"/>
    </row>
    <row r="289" spans="1:41" x14ac:dyDescent="0.15">
      <c r="A289" s="39" t="s">
        <v>295</v>
      </c>
      <c r="B289" s="39" t="s">
        <v>68</v>
      </c>
      <c r="E289" s="39">
        <f t="shared" si="442"/>
        <v>0</v>
      </c>
      <c r="G289" s="172"/>
      <c r="H289" s="155">
        <f t="shared" si="443"/>
        <v>0</v>
      </c>
      <c r="I289" s="155">
        <f t="shared" si="443"/>
        <v>0</v>
      </c>
      <c r="J289" s="155">
        <f t="shared" si="444"/>
        <v>-73464.968530311759</v>
      </c>
      <c r="K289" s="155">
        <f t="shared" si="445"/>
        <v>0</v>
      </c>
      <c r="L289" s="155">
        <f t="shared" si="445"/>
        <v>0</v>
      </c>
      <c r="M289" s="155">
        <f t="shared" si="446"/>
        <v>-73464.968530311759</v>
      </c>
      <c r="N289" s="172">
        <f>VLOOKUP($A289,'E&amp;G Splits'!$A$5:$I$45,N$281,FALSE)</f>
        <v>0.8216</v>
      </c>
      <c r="O289" s="155">
        <f t="shared" si="447"/>
        <v>0</v>
      </c>
      <c r="P289" s="155">
        <f t="shared" si="447"/>
        <v>0</v>
      </c>
      <c r="Q289" s="155">
        <f t="shared" si="448"/>
        <v>-73456.621144230448</v>
      </c>
      <c r="R289" s="155">
        <f t="shared" si="449"/>
        <v>0</v>
      </c>
      <c r="S289" s="155">
        <f t="shared" si="449"/>
        <v>0</v>
      </c>
      <c r="T289" s="155">
        <f t="shared" si="456"/>
        <v>-73456.621144230448</v>
      </c>
      <c r="U289" s="155">
        <f t="shared" si="450"/>
        <v>0</v>
      </c>
      <c r="V289" s="155">
        <f t="shared" si="450"/>
        <v>0</v>
      </c>
      <c r="W289" s="155">
        <f t="shared" si="451"/>
        <v>-73456.621144230448</v>
      </c>
      <c r="X289" s="155">
        <f t="shared" si="452"/>
        <v>0</v>
      </c>
      <c r="Y289" s="155">
        <f t="shared" si="452"/>
        <v>0</v>
      </c>
      <c r="Z289" s="155">
        <f t="shared" si="453"/>
        <v>-73456.621144230448</v>
      </c>
      <c r="AA289" s="172">
        <f>VLOOKUP($A289,'E&amp;G Splits'!$A$5:$I$45,AA$281,FALSE)</f>
        <v>0.8216</v>
      </c>
      <c r="AB289" s="155">
        <f t="shared" si="454"/>
        <v>0</v>
      </c>
      <c r="AC289" s="155">
        <f t="shared" si="454"/>
        <v>0</v>
      </c>
      <c r="AD289" s="155">
        <f t="shared" si="455"/>
        <v>-73657.872161062944</v>
      </c>
      <c r="AE289" s="155">
        <f t="shared" si="455"/>
        <v>0</v>
      </c>
      <c r="AF289" s="155">
        <f t="shared" si="455"/>
        <v>0</v>
      </c>
      <c r="AG289" s="155">
        <f t="shared" si="455"/>
        <v>-73657.872161062944</v>
      </c>
      <c r="AH289" s="155">
        <f t="shared" si="455"/>
        <v>0</v>
      </c>
      <c r="AI289" s="155">
        <f t="shared" si="455"/>
        <v>0</v>
      </c>
      <c r="AJ289" s="155">
        <f t="shared" si="455"/>
        <v>-73657.872161062944</v>
      </c>
      <c r="AK289" s="155">
        <f t="shared" si="455"/>
        <v>0</v>
      </c>
      <c r="AL289" s="155">
        <f t="shared" si="455"/>
        <v>0</v>
      </c>
      <c r="AM289" s="155">
        <f t="shared" si="455"/>
        <v>-73657.872161062944</v>
      </c>
      <c r="AN289" s="172">
        <f>VLOOKUP($A289,'E&amp;G Splits'!$A$5:$I$45,AN$281,FALSE)</f>
        <v>0.8216</v>
      </c>
      <c r="AO289" s="172"/>
    </row>
    <row r="290" spans="1:41" x14ac:dyDescent="0.15">
      <c r="A290" s="39" t="s">
        <v>49</v>
      </c>
      <c r="B290" s="39" t="s">
        <v>49</v>
      </c>
      <c r="E290" s="39">
        <f t="shared" si="442"/>
        <v>1</v>
      </c>
      <c r="G290" s="172"/>
      <c r="H290" s="155">
        <f t="shared" si="443"/>
        <v>0</v>
      </c>
      <c r="I290" s="155">
        <f t="shared" si="443"/>
        <v>0</v>
      </c>
      <c r="J290" s="155">
        <f t="shared" si="444"/>
        <v>0</v>
      </c>
      <c r="K290" s="155">
        <f t="shared" si="445"/>
        <v>0</v>
      </c>
      <c r="L290" s="155">
        <f t="shared" si="445"/>
        <v>0</v>
      </c>
      <c r="M290" s="155">
        <f t="shared" si="446"/>
        <v>0</v>
      </c>
      <c r="N290" s="172">
        <f>VLOOKUP($A290,'E&amp;G Splits'!$A$5:$I$45,N$281,FALSE)</f>
        <v>1</v>
      </c>
      <c r="O290" s="155">
        <f t="shared" si="447"/>
        <v>0</v>
      </c>
      <c r="P290" s="155">
        <f t="shared" si="447"/>
        <v>0</v>
      </c>
      <c r="Q290" s="155">
        <f t="shared" si="448"/>
        <v>6085.3049999999967</v>
      </c>
      <c r="R290" s="155">
        <f t="shared" si="449"/>
        <v>0</v>
      </c>
      <c r="S290" s="155">
        <f t="shared" si="449"/>
        <v>0</v>
      </c>
      <c r="T290" s="155">
        <f t="shared" si="456"/>
        <v>6085.3049999999967</v>
      </c>
      <c r="U290" s="155">
        <f t="shared" si="450"/>
        <v>0</v>
      </c>
      <c r="V290" s="155">
        <f t="shared" si="450"/>
        <v>0</v>
      </c>
      <c r="W290" s="155">
        <f t="shared" si="451"/>
        <v>6085.3049999999967</v>
      </c>
      <c r="X290" s="155">
        <f t="shared" si="452"/>
        <v>0</v>
      </c>
      <c r="Y290" s="155">
        <f t="shared" si="452"/>
        <v>0</v>
      </c>
      <c r="Z290" s="155">
        <f t="shared" si="453"/>
        <v>6085.3049999999967</v>
      </c>
      <c r="AA290" s="172">
        <f>VLOOKUP($A290,'E&amp;G Splits'!$A$5:$I$45,AA$281,FALSE)</f>
        <v>1</v>
      </c>
      <c r="AB290" s="155">
        <f t="shared" si="454"/>
        <v>0</v>
      </c>
      <c r="AC290" s="155">
        <f t="shared" si="454"/>
        <v>0</v>
      </c>
      <c r="AD290" s="155">
        <f t="shared" si="455"/>
        <v>3549.7612500000005</v>
      </c>
      <c r="AE290" s="155">
        <f t="shared" si="455"/>
        <v>0</v>
      </c>
      <c r="AF290" s="155">
        <f t="shared" si="455"/>
        <v>0</v>
      </c>
      <c r="AG290" s="155">
        <f t="shared" si="455"/>
        <v>3549.7612500000005</v>
      </c>
      <c r="AH290" s="155">
        <f t="shared" si="455"/>
        <v>0</v>
      </c>
      <c r="AI290" s="155">
        <f t="shared" si="455"/>
        <v>0</v>
      </c>
      <c r="AJ290" s="155">
        <f t="shared" si="455"/>
        <v>3549.7612500000005</v>
      </c>
      <c r="AK290" s="155">
        <f t="shared" si="455"/>
        <v>0</v>
      </c>
      <c r="AL290" s="155">
        <f t="shared" si="455"/>
        <v>0</v>
      </c>
      <c r="AM290" s="155">
        <f t="shared" si="455"/>
        <v>3549.7612500000005</v>
      </c>
      <c r="AN290" s="172">
        <f>VLOOKUP($A290,'E&amp;G Splits'!$A$5:$I$45,AN$281,FALSE)</f>
        <v>1</v>
      </c>
      <c r="AO290" s="172"/>
    </row>
    <row r="291" spans="1:41" x14ac:dyDescent="0.15">
      <c r="A291" s="39" t="s">
        <v>297</v>
      </c>
      <c r="B291" s="39" t="s">
        <v>270</v>
      </c>
      <c r="E291" s="39">
        <f t="shared" si="442"/>
        <v>0</v>
      </c>
      <c r="G291" s="172"/>
      <c r="H291" s="155">
        <f t="shared" si="443"/>
        <v>0</v>
      </c>
      <c r="I291" s="155">
        <f t="shared" si="443"/>
        <v>0</v>
      </c>
      <c r="J291" s="155">
        <f t="shared" si="444"/>
        <v>0</v>
      </c>
      <c r="K291" s="155">
        <f t="shared" si="445"/>
        <v>0</v>
      </c>
      <c r="L291" s="155">
        <f t="shared" si="445"/>
        <v>0</v>
      </c>
      <c r="M291" s="155">
        <f t="shared" si="446"/>
        <v>0</v>
      </c>
      <c r="N291" s="172">
        <f>VLOOKUP($A291,'E&amp;G Splits'!$A$5:$I$45,N$281,FALSE)</f>
        <v>1</v>
      </c>
      <c r="O291" s="155">
        <f t="shared" si="447"/>
        <v>0</v>
      </c>
      <c r="P291" s="155">
        <f t="shared" si="447"/>
        <v>0</v>
      </c>
      <c r="Q291" s="155">
        <f t="shared" si="448"/>
        <v>0</v>
      </c>
      <c r="R291" s="155">
        <f t="shared" si="449"/>
        <v>0</v>
      </c>
      <c r="S291" s="155">
        <f t="shared" si="449"/>
        <v>0</v>
      </c>
      <c r="T291" s="155">
        <f t="shared" si="456"/>
        <v>0</v>
      </c>
      <c r="U291" s="155">
        <f t="shared" si="450"/>
        <v>0</v>
      </c>
      <c r="V291" s="155">
        <f t="shared" si="450"/>
        <v>0</v>
      </c>
      <c r="W291" s="155">
        <f t="shared" si="451"/>
        <v>0</v>
      </c>
      <c r="X291" s="155">
        <f t="shared" si="452"/>
        <v>0</v>
      </c>
      <c r="Y291" s="155">
        <f t="shared" si="452"/>
        <v>0</v>
      </c>
      <c r="Z291" s="155">
        <f t="shared" si="453"/>
        <v>0</v>
      </c>
      <c r="AA291" s="172">
        <f>VLOOKUP($A291,'E&amp;G Splits'!$A$5:$I$45,AA$281,FALSE)</f>
        <v>1</v>
      </c>
      <c r="AB291" s="155">
        <f t="shared" si="454"/>
        <v>0</v>
      </c>
      <c r="AC291" s="155">
        <f t="shared" si="454"/>
        <v>0</v>
      </c>
      <c r="AD291" s="155">
        <f t="shared" si="455"/>
        <v>0</v>
      </c>
      <c r="AE291" s="155">
        <f t="shared" si="455"/>
        <v>0</v>
      </c>
      <c r="AF291" s="155">
        <f t="shared" si="455"/>
        <v>0</v>
      </c>
      <c r="AG291" s="155">
        <f t="shared" si="455"/>
        <v>0</v>
      </c>
      <c r="AH291" s="155">
        <f t="shared" si="455"/>
        <v>0</v>
      </c>
      <c r="AI291" s="155">
        <f t="shared" si="455"/>
        <v>0</v>
      </c>
      <c r="AJ291" s="155">
        <f t="shared" si="455"/>
        <v>0</v>
      </c>
      <c r="AK291" s="155">
        <f t="shared" si="455"/>
        <v>0</v>
      </c>
      <c r="AL291" s="155">
        <f t="shared" si="455"/>
        <v>0</v>
      </c>
      <c r="AM291" s="155">
        <f t="shared" si="455"/>
        <v>0</v>
      </c>
      <c r="AN291" s="172">
        <f>VLOOKUP($A291,'E&amp;G Splits'!$A$5:$I$45,AN$281,FALSE)</f>
        <v>1</v>
      </c>
      <c r="AO291" s="172"/>
    </row>
    <row r="292" spans="1:41" x14ac:dyDescent="0.15">
      <c r="A292" s="39" t="s">
        <v>299</v>
      </c>
      <c r="B292" s="39" t="s">
        <v>652</v>
      </c>
      <c r="E292" s="39">
        <f t="shared" si="442"/>
        <v>0</v>
      </c>
      <c r="G292" s="172"/>
      <c r="H292" s="155">
        <f t="shared" si="443"/>
        <v>0</v>
      </c>
      <c r="I292" s="155">
        <f t="shared" si="443"/>
        <v>0</v>
      </c>
      <c r="J292" s="155">
        <f t="shared" si="444"/>
        <v>11515.025047499996</v>
      </c>
      <c r="K292" s="155">
        <f t="shared" si="445"/>
        <v>0</v>
      </c>
      <c r="L292" s="155">
        <f t="shared" si="445"/>
        <v>0</v>
      </c>
      <c r="M292" s="155">
        <f t="shared" si="446"/>
        <v>11515.025047499996</v>
      </c>
      <c r="N292" s="172">
        <f>VLOOKUP($A292,'E&amp;G Splits'!$A$5:$I$45,N$281,FALSE)</f>
        <v>1</v>
      </c>
      <c r="O292" s="155">
        <f t="shared" si="447"/>
        <v>0</v>
      </c>
      <c r="P292" s="155">
        <f t="shared" si="447"/>
        <v>0</v>
      </c>
      <c r="Q292" s="155">
        <f t="shared" si="448"/>
        <v>11522.917979999995</v>
      </c>
      <c r="R292" s="155">
        <f t="shared" si="449"/>
        <v>0</v>
      </c>
      <c r="S292" s="155">
        <f t="shared" si="449"/>
        <v>0</v>
      </c>
      <c r="T292" s="155">
        <f t="shared" si="456"/>
        <v>11522.917979999995</v>
      </c>
      <c r="U292" s="155">
        <f t="shared" si="450"/>
        <v>0</v>
      </c>
      <c r="V292" s="155">
        <f t="shared" si="450"/>
        <v>0</v>
      </c>
      <c r="W292" s="155">
        <f t="shared" si="451"/>
        <v>11522.917979999995</v>
      </c>
      <c r="X292" s="155">
        <f t="shared" si="452"/>
        <v>0</v>
      </c>
      <c r="Y292" s="155">
        <f t="shared" si="452"/>
        <v>0</v>
      </c>
      <c r="Z292" s="155">
        <f t="shared" si="453"/>
        <v>11522.917979999995</v>
      </c>
      <c r="AA292" s="172">
        <f>VLOOKUP($A292,'E&amp;G Splits'!$A$5:$I$45,AA$281,FALSE)</f>
        <v>1</v>
      </c>
      <c r="AB292" s="155">
        <f t="shared" si="454"/>
        <v>0</v>
      </c>
      <c r="AC292" s="155">
        <f t="shared" si="454"/>
        <v>0</v>
      </c>
      <c r="AD292" s="155">
        <f t="shared" ref="AD292:AM301" si="457">(SUMIF($A$176:$A$215,$A292,AD$176:AD$215)*0.21+SUMIF($A$226:$A$264,$A292,AD$226:AD$264)*0.05*0.79)*$AN292</f>
        <v>11522.917979999995</v>
      </c>
      <c r="AE292" s="155">
        <f t="shared" si="457"/>
        <v>0</v>
      </c>
      <c r="AF292" s="155">
        <f t="shared" si="457"/>
        <v>0</v>
      </c>
      <c r="AG292" s="155">
        <f t="shared" si="457"/>
        <v>11522.917979999995</v>
      </c>
      <c r="AH292" s="155">
        <f t="shared" si="457"/>
        <v>0</v>
      </c>
      <c r="AI292" s="155">
        <f t="shared" si="457"/>
        <v>0</v>
      </c>
      <c r="AJ292" s="155">
        <f t="shared" si="457"/>
        <v>11522.917979999995</v>
      </c>
      <c r="AK292" s="155">
        <f t="shared" si="457"/>
        <v>0</v>
      </c>
      <c r="AL292" s="155">
        <f t="shared" si="457"/>
        <v>0</v>
      </c>
      <c r="AM292" s="155">
        <f t="shared" si="457"/>
        <v>11522.917979999995</v>
      </c>
      <c r="AN292" s="172">
        <f>VLOOKUP($A292,'E&amp;G Splits'!$A$5:$I$45,AN$281,FALSE)</f>
        <v>1</v>
      </c>
      <c r="AO292" s="172"/>
    </row>
    <row r="293" spans="1:41" x14ac:dyDescent="0.15">
      <c r="A293" s="39" t="s">
        <v>300</v>
      </c>
      <c r="B293" s="39" t="s">
        <v>271</v>
      </c>
      <c r="E293" s="39">
        <f t="shared" si="442"/>
        <v>0</v>
      </c>
      <c r="G293" s="172"/>
      <c r="H293" s="155">
        <f t="shared" si="443"/>
        <v>0</v>
      </c>
      <c r="I293" s="155">
        <f t="shared" si="443"/>
        <v>0</v>
      </c>
      <c r="J293" s="155">
        <f t="shared" si="444"/>
        <v>684.81634094535184</v>
      </c>
      <c r="K293" s="155">
        <f t="shared" si="445"/>
        <v>0</v>
      </c>
      <c r="L293" s="155">
        <f t="shared" si="445"/>
        <v>0</v>
      </c>
      <c r="M293" s="155">
        <f t="shared" si="446"/>
        <v>684.81634094535184</v>
      </c>
      <c r="N293" s="172">
        <f>VLOOKUP($A293,'E&amp;G Splits'!$A$5:$I$45,N$281,FALSE)</f>
        <v>1</v>
      </c>
      <c r="O293" s="155">
        <f t="shared" si="447"/>
        <v>0</v>
      </c>
      <c r="P293" s="155">
        <f t="shared" si="447"/>
        <v>0</v>
      </c>
      <c r="Q293" s="155">
        <f t="shared" si="448"/>
        <v>-12610.137035602334</v>
      </c>
      <c r="R293" s="155">
        <f t="shared" si="449"/>
        <v>0</v>
      </c>
      <c r="S293" s="155">
        <f t="shared" si="449"/>
        <v>0</v>
      </c>
      <c r="T293" s="155">
        <f t="shared" si="456"/>
        <v>-12610.137035602334</v>
      </c>
      <c r="U293" s="155">
        <f t="shared" si="450"/>
        <v>0</v>
      </c>
      <c r="V293" s="155">
        <f t="shared" si="450"/>
        <v>0</v>
      </c>
      <c r="W293" s="155">
        <f t="shared" si="451"/>
        <v>-12610.137035602334</v>
      </c>
      <c r="X293" s="155">
        <f t="shared" si="452"/>
        <v>0</v>
      </c>
      <c r="Y293" s="155">
        <f t="shared" si="452"/>
        <v>0</v>
      </c>
      <c r="Z293" s="155">
        <f t="shared" si="453"/>
        <v>-12610.137035602334</v>
      </c>
      <c r="AA293" s="172">
        <f>VLOOKUP($A293,'E&amp;G Splits'!$A$5:$I$45,AA$281,FALSE)</f>
        <v>1</v>
      </c>
      <c r="AB293" s="155">
        <f t="shared" si="454"/>
        <v>0</v>
      </c>
      <c r="AC293" s="155">
        <f t="shared" si="454"/>
        <v>0</v>
      </c>
      <c r="AD293" s="155">
        <f t="shared" si="457"/>
        <v>4699.9266463345966</v>
      </c>
      <c r="AE293" s="155">
        <f t="shared" si="457"/>
        <v>0</v>
      </c>
      <c r="AF293" s="155">
        <f t="shared" si="457"/>
        <v>0</v>
      </c>
      <c r="AG293" s="155">
        <f t="shared" si="457"/>
        <v>4699.9266463345966</v>
      </c>
      <c r="AH293" s="155">
        <f t="shared" si="457"/>
        <v>0</v>
      </c>
      <c r="AI293" s="155">
        <f t="shared" si="457"/>
        <v>0</v>
      </c>
      <c r="AJ293" s="155">
        <f t="shared" si="457"/>
        <v>4699.9266463345966</v>
      </c>
      <c r="AK293" s="155">
        <f t="shared" si="457"/>
        <v>0</v>
      </c>
      <c r="AL293" s="155">
        <f t="shared" si="457"/>
        <v>0</v>
      </c>
      <c r="AM293" s="155">
        <f t="shared" si="457"/>
        <v>4699.9266463345966</v>
      </c>
      <c r="AN293" s="172">
        <f>VLOOKUP($A293,'E&amp;G Splits'!$A$5:$I$45,AN$281,FALSE)</f>
        <v>1</v>
      </c>
      <c r="AO293" s="172"/>
    </row>
    <row r="294" spans="1:41" x14ac:dyDescent="0.15">
      <c r="A294" s="39" t="s">
        <v>302</v>
      </c>
      <c r="B294" s="39" t="s">
        <v>302</v>
      </c>
      <c r="E294" s="39">
        <f t="shared" si="442"/>
        <v>1</v>
      </c>
      <c r="G294" s="172"/>
      <c r="H294" s="155">
        <f t="shared" si="443"/>
        <v>0</v>
      </c>
      <c r="I294" s="155">
        <f t="shared" si="443"/>
        <v>0</v>
      </c>
      <c r="J294" s="155">
        <f t="shared" si="444"/>
        <v>11470.24291624999</v>
      </c>
      <c r="K294" s="155">
        <f t="shared" si="445"/>
        <v>0</v>
      </c>
      <c r="L294" s="155">
        <f t="shared" si="445"/>
        <v>0</v>
      </c>
      <c r="M294" s="155">
        <f t="shared" si="446"/>
        <v>11470.24291624999</v>
      </c>
      <c r="N294" s="172">
        <f>VLOOKUP($A294,'E&amp;G Splits'!$A$5:$I$45,N$281,FALSE)</f>
        <v>1</v>
      </c>
      <c r="O294" s="155">
        <f t="shared" si="447"/>
        <v>0</v>
      </c>
      <c r="P294" s="155">
        <f t="shared" si="447"/>
        <v>0</v>
      </c>
      <c r="Q294" s="155">
        <f t="shared" si="448"/>
        <v>-10844.413333750023</v>
      </c>
      <c r="R294" s="155">
        <f t="shared" si="449"/>
        <v>0</v>
      </c>
      <c r="S294" s="155">
        <f t="shared" si="449"/>
        <v>0</v>
      </c>
      <c r="T294" s="155">
        <f t="shared" si="456"/>
        <v>-10844.413333750023</v>
      </c>
      <c r="U294" s="155">
        <f t="shared" si="450"/>
        <v>0</v>
      </c>
      <c r="V294" s="155">
        <f t="shared" si="450"/>
        <v>0</v>
      </c>
      <c r="W294" s="155">
        <f t="shared" si="451"/>
        <v>-10844.413333750023</v>
      </c>
      <c r="X294" s="155">
        <f t="shared" si="452"/>
        <v>0</v>
      </c>
      <c r="Y294" s="155">
        <f t="shared" si="452"/>
        <v>0</v>
      </c>
      <c r="Z294" s="155">
        <f t="shared" si="453"/>
        <v>-10844.413333750023</v>
      </c>
      <c r="AA294" s="172">
        <f>VLOOKUP($A294,'E&amp;G Splits'!$A$5:$I$45,AA$281,FALSE)</f>
        <v>1</v>
      </c>
      <c r="AB294" s="155">
        <f t="shared" si="454"/>
        <v>0</v>
      </c>
      <c r="AC294" s="155">
        <f t="shared" si="454"/>
        <v>0</v>
      </c>
      <c r="AD294" s="155">
        <f t="shared" si="457"/>
        <v>-5422.2088500000091</v>
      </c>
      <c r="AE294" s="155">
        <f t="shared" si="457"/>
        <v>0</v>
      </c>
      <c r="AF294" s="155">
        <f t="shared" si="457"/>
        <v>0</v>
      </c>
      <c r="AG294" s="155">
        <f t="shared" si="457"/>
        <v>-5422.2088500000091</v>
      </c>
      <c r="AH294" s="155">
        <f t="shared" si="457"/>
        <v>0</v>
      </c>
      <c r="AI294" s="155">
        <f t="shared" si="457"/>
        <v>0</v>
      </c>
      <c r="AJ294" s="155">
        <f t="shared" si="457"/>
        <v>-5422.2088500000091</v>
      </c>
      <c r="AK294" s="155">
        <f t="shared" si="457"/>
        <v>0</v>
      </c>
      <c r="AL294" s="155">
        <f t="shared" si="457"/>
        <v>0</v>
      </c>
      <c r="AM294" s="155">
        <f t="shared" si="457"/>
        <v>-5422.2088500000091</v>
      </c>
      <c r="AN294" s="172">
        <f>VLOOKUP($A294,'E&amp;G Splits'!$A$5:$I$45,AN$281,FALSE)</f>
        <v>1</v>
      </c>
      <c r="AO294" s="172"/>
    </row>
    <row r="295" spans="1:41" x14ac:dyDescent="0.15">
      <c r="A295" s="39" t="s">
        <v>59</v>
      </c>
      <c r="B295" s="39" t="s">
        <v>59</v>
      </c>
      <c r="E295" s="39">
        <f t="shared" si="442"/>
        <v>1</v>
      </c>
      <c r="G295" s="172"/>
      <c r="H295" s="155">
        <f t="shared" si="443"/>
        <v>0</v>
      </c>
      <c r="I295" s="155">
        <f t="shared" si="443"/>
        <v>0</v>
      </c>
      <c r="J295" s="155">
        <f t="shared" si="444"/>
        <v>141856.25823275017</v>
      </c>
      <c r="K295" s="155">
        <f t="shared" si="445"/>
        <v>0</v>
      </c>
      <c r="L295" s="155">
        <f t="shared" si="445"/>
        <v>0</v>
      </c>
      <c r="M295" s="155">
        <f t="shared" si="446"/>
        <v>141856.25823275017</v>
      </c>
      <c r="N295" s="172">
        <f>VLOOKUP($A295,'E&amp;G Splits'!$A$5:$I$45,N$281,FALSE)</f>
        <v>1</v>
      </c>
      <c r="O295" s="155">
        <f t="shared" si="447"/>
        <v>0</v>
      </c>
      <c r="P295" s="155">
        <f t="shared" si="447"/>
        <v>0</v>
      </c>
      <c r="Q295" s="155">
        <f t="shared" si="448"/>
        <v>-116435.47784439466</v>
      </c>
      <c r="R295" s="155">
        <f t="shared" si="449"/>
        <v>0</v>
      </c>
      <c r="S295" s="155">
        <f t="shared" si="449"/>
        <v>0</v>
      </c>
      <c r="T295" s="155">
        <f t="shared" si="456"/>
        <v>-116435.47784439466</v>
      </c>
      <c r="U295" s="155">
        <f t="shared" si="450"/>
        <v>0</v>
      </c>
      <c r="V295" s="155">
        <f t="shared" si="450"/>
        <v>0</v>
      </c>
      <c r="W295" s="155">
        <f t="shared" si="451"/>
        <v>-116435.47784439466</v>
      </c>
      <c r="X295" s="155">
        <f t="shared" si="452"/>
        <v>0</v>
      </c>
      <c r="Y295" s="155">
        <f t="shared" si="452"/>
        <v>0</v>
      </c>
      <c r="Z295" s="155">
        <f t="shared" si="453"/>
        <v>-116435.47784439466</v>
      </c>
      <c r="AA295" s="172">
        <f>VLOOKUP($A295,'E&amp;G Splits'!$A$5:$I$45,AA$281,FALSE)</f>
        <v>1</v>
      </c>
      <c r="AB295" s="155">
        <f t="shared" si="454"/>
        <v>0</v>
      </c>
      <c r="AC295" s="155">
        <f t="shared" si="454"/>
        <v>0</v>
      </c>
      <c r="AD295" s="155">
        <f t="shared" si="457"/>
        <v>11359.762112352772</v>
      </c>
      <c r="AE295" s="155">
        <f t="shared" si="457"/>
        <v>0</v>
      </c>
      <c r="AF295" s="155">
        <f t="shared" si="457"/>
        <v>0</v>
      </c>
      <c r="AG295" s="155">
        <f t="shared" si="457"/>
        <v>11359.762112352772</v>
      </c>
      <c r="AH295" s="155">
        <f t="shared" si="457"/>
        <v>0</v>
      </c>
      <c r="AI295" s="155">
        <f t="shared" si="457"/>
        <v>0</v>
      </c>
      <c r="AJ295" s="155">
        <f t="shared" si="457"/>
        <v>11359.762112352772</v>
      </c>
      <c r="AK295" s="155">
        <f t="shared" si="457"/>
        <v>0</v>
      </c>
      <c r="AL295" s="155">
        <f t="shared" si="457"/>
        <v>0</v>
      </c>
      <c r="AM295" s="155">
        <f t="shared" si="457"/>
        <v>11359.762112352772</v>
      </c>
      <c r="AN295" s="172">
        <f>VLOOKUP($A295,'E&amp;G Splits'!$A$5:$I$45,AN$281,FALSE)</f>
        <v>1</v>
      </c>
      <c r="AO295" s="172"/>
    </row>
    <row r="296" spans="1:41" x14ac:dyDescent="0.15">
      <c r="A296" s="39" t="s">
        <v>53</v>
      </c>
      <c r="B296" s="39" t="s">
        <v>53</v>
      </c>
      <c r="E296" s="39">
        <f t="shared" si="442"/>
        <v>2</v>
      </c>
      <c r="G296" s="172"/>
      <c r="H296" s="155">
        <f t="shared" si="443"/>
        <v>0</v>
      </c>
      <c r="I296" s="155">
        <f t="shared" si="443"/>
        <v>0</v>
      </c>
      <c r="J296" s="155">
        <f t="shared" si="444"/>
        <v>2419.7074992749999</v>
      </c>
      <c r="K296" s="155">
        <f t="shared" si="445"/>
        <v>0</v>
      </c>
      <c r="L296" s="155">
        <f t="shared" si="445"/>
        <v>0</v>
      </c>
      <c r="M296" s="155">
        <f t="shared" si="446"/>
        <v>2419.7074992749999</v>
      </c>
      <c r="N296" s="172">
        <f>VLOOKUP($A296,'E&amp;G Splits'!$A$5:$I$45,N$281,FALSE)</f>
        <v>0.11</v>
      </c>
      <c r="O296" s="155">
        <f t="shared" si="447"/>
        <v>0</v>
      </c>
      <c r="P296" s="155">
        <f t="shared" si="447"/>
        <v>0</v>
      </c>
      <c r="Q296" s="155">
        <f t="shared" si="448"/>
        <v>-3148.9728830999998</v>
      </c>
      <c r="R296" s="155">
        <f t="shared" si="449"/>
        <v>0</v>
      </c>
      <c r="S296" s="155">
        <f t="shared" si="449"/>
        <v>0</v>
      </c>
      <c r="T296" s="155">
        <f t="shared" si="456"/>
        <v>-3148.9728830999998</v>
      </c>
      <c r="U296" s="155">
        <f t="shared" si="450"/>
        <v>0</v>
      </c>
      <c r="V296" s="155">
        <f t="shared" si="450"/>
        <v>0</v>
      </c>
      <c r="W296" s="155">
        <f t="shared" si="451"/>
        <v>-3148.9728830999998</v>
      </c>
      <c r="X296" s="155">
        <f t="shared" si="452"/>
        <v>0</v>
      </c>
      <c r="Y296" s="155">
        <f t="shared" si="452"/>
        <v>0</v>
      </c>
      <c r="Z296" s="155">
        <f t="shared" si="453"/>
        <v>-3148.9728830999998</v>
      </c>
      <c r="AA296" s="172">
        <f>VLOOKUP($A296,'E&amp;G Splits'!$A$5:$I$45,AA$281,FALSE)</f>
        <v>0.11</v>
      </c>
      <c r="AB296" s="155">
        <f t="shared" si="454"/>
        <v>0</v>
      </c>
      <c r="AC296" s="155">
        <f t="shared" si="454"/>
        <v>0</v>
      </c>
      <c r="AD296" s="155">
        <f t="shared" si="457"/>
        <v>0</v>
      </c>
      <c r="AE296" s="155">
        <f t="shared" si="457"/>
        <v>0</v>
      </c>
      <c r="AF296" s="155">
        <f t="shared" si="457"/>
        <v>0</v>
      </c>
      <c r="AG296" s="155">
        <f t="shared" si="457"/>
        <v>0</v>
      </c>
      <c r="AH296" s="155">
        <f t="shared" si="457"/>
        <v>0</v>
      </c>
      <c r="AI296" s="155">
        <f t="shared" si="457"/>
        <v>0</v>
      </c>
      <c r="AJ296" s="155">
        <f t="shared" si="457"/>
        <v>0</v>
      </c>
      <c r="AK296" s="155">
        <f t="shared" si="457"/>
        <v>0</v>
      </c>
      <c r="AL296" s="155">
        <f t="shared" si="457"/>
        <v>0</v>
      </c>
      <c r="AM296" s="155">
        <f t="shared" si="457"/>
        <v>0</v>
      </c>
      <c r="AN296" s="172">
        <f>VLOOKUP($A296,'E&amp;G Splits'!$A$5:$I$45,AN$281,FALSE)</f>
        <v>0.11</v>
      </c>
      <c r="AO296" s="172"/>
    </row>
    <row r="297" spans="1:41" x14ac:dyDescent="0.15">
      <c r="A297" s="39" t="s">
        <v>303</v>
      </c>
      <c r="B297" s="39" t="s">
        <v>60</v>
      </c>
      <c r="E297" s="39">
        <f t="shared" si="442"/>
        <v>0</v>
      </c>
      <c r="G297" s="172"/>
      <c r="H297" s="155">
        <f t="shared" si="443"/>
        <v>0</v>
      </c>
      <c r="I297" s="155">
        <f t="shared" si="443"/>
        <v>0</v>
      </c>
      <c r="J297" s="155">
        <f t="shared" si="444"/>
        <v>169143.81478930014</v>
      </c>
      <c r="K297" s="155">
        <f t="shared" si="445"/>
        <v>0</v>
      </c>
      <c r="L297" s="155">
        <f t="shared" si="445"/>
        <v>0</v>
      </c>
      <c r="M297" s="155">
        <f t="shared" si="446"/>
        <v>169143.81478930014</v>
      </c>
      <c r="N297" s="172">
        <f>VLOOKUP($A297,'E&amp;G Splits'!$A$5:$I$45,N$281,FALSE)</f>
        <v>0.8216</v>
      </c>
      <c r="O297" s="155">
        <f t="shared" si="447"/>
        <v>0</v>
      </c>
      <c r="P297" s="155">
        <f t="shared" si="447"/>
        <v>0</v>
      </c>
      <c r="Q297" s="155">
        <f t="shared" si="448"/>
        <v>154812.86607540023</v>
      </c>
      <c r="R297" s="155">
        <f t="shared" si="449"/>
        <v>0</v>
      </c>
      <c r="S297" s="155">
        <f t="shared" si="449"/>
        <v>0</v>
      </c>
      <c r="T297" s="155">
        <f t="shared" si="456"/>
        <v>154812.86607540023</v>
      </c>
      <c r="U297" s="155">
        <f t="shared" si="450"/>
        <v>0</v>
      </c>
      <c r="V297" s="155">
        <f t="shared" si="450"/>
        <v>0</v>
      </c>
      <c r="W297" s="155">
        <f t="shared" si="451"/>
        <v>154812.86607540023</v>
      </c>
      <c r="X297" s="155">
        <f t="shared" si="452"/>
        <v>0</v>
      </c>
      <c r="Y297" s="155">
        <f t="shared" si="452"/>
        <v>0</v>
      </c>
      <c r="Z297" s="155">
        <f t="shared" si="453"/>
        <v>154812.86607540023</v>
      </c>
      <c r="AA297" s="172">
        <f>VLOOKUP($A297,'E&amp;G Splits'!$A$5:$I$45,AA$281,FALSE)</f>
        <v>0.8216</v>
      </c>
      <c r="AB297" s="155">
        <f t="shared" si="454"/>
        <v>0</v>
      </c>
      <c r="AC297" s="155">
        <f t="shared" si="454"/>
        <v>0</v>
      </c>
      <c r="AD297" s="155">
        <f t="shared" si="457"/>
        <v>152973.9592095</v>
      </c>
      <c r="AE297" s="155">
        <f t="shared" si="457"/>
        <v>0</v>
      </c>
      <c r="AF297" s="155">
        <f t="shared" si="457"/>
        <v>0</v>
      </c>
      <c r="AG297" s="155">
        <f t="shared" si="457"/>
        <v>152973.9592095</v>
      </c>
      <c r="AH297" s="155">
        <f t="shared" si="457"/>
        <v>0</v>
      </c>
      <c r="AI297" s="155">
        <f t="shared" si="457"/>
        <v>0</v>
      </c>
      <c r="AJ297" s="155">
        <f t="shared" si="457"/>
        <v>152973.9592095</v>
      </c>
      <c r="AK297" s="155">
        <f t="shared" si="457"/>
        <v>0</v>
      </c>
      <c r="AL297" s="155">
        <f t="shared" si="457"/>
        <v>0</v>
      </c>
      <c r="AM297" s="155">
        <f t="shared" si="457"/>
        <v>152973.9592095</v>
      </c>
      <c r="AN297" s="172">
        <f>VLOOKUP($A297,'E&amp;G Splits'!$A$5:$I$45,AN$281,FALSE)</f>
        <v>0.8216</v>
      </c>
      <c r="AO297" s="172"/>
    </row>
    <row r="298" spans="1:41" x14ac:dyDescent="0.15">
      <c r="A298" s="39" t="s">
        <v>304</v>
      </c>
      <c r="B298" s="39" t="s">
        <v>60</v>
      </c>
      <c r="E298" s="39">
        <f t="shared" si="442"/>
        <v>0</v>
      </c>
      <c r="G298" s="172"/>
      <c r="H298" s="155">
        <f t="shared" si="443"/>
        <v>0</v>
      </c>
      <c r="I298" s="155">
        <f t="shared" si="443"/>
        <v>0</v>
      </c>
      <c r="J298" s="155">
        <f t="shared" si="444"/>
        <v>-325089.6561731</v>
      </c>
      <c r="K298" s="155">
        <f t="shared" si="445"/>
        <v>0</v>
      </c>
      <c r="L298" s="155">
        <f t="shared" si="445"/>
        <v>0</v>
      </c>
      <c r="M298" s="155">
        <f t="shared" si="446"/>
        <v>-325089.6561731</v>
      </c>
      <c r="N298" s="172">
        <f>VLOOKUP($A298,'E&amp;G Splits'!$A$5:$I$45,N$281,FALSE)</f>
        <v>0.8216</v>
      </c>
      <c r="O298" s="155">
        <f t="shared" si="447"/>
        <v>0</v>
      </c>
      <c r="P298" s="155">
        <f t="shared" si="447"/>
        <v>0</v>
      </c>
      <c r="Q298" s="155">
        <f t="shared" si="448"/>
        <v>-334183.23332160001</v>
      </c>
      <c r="R298" s="155">
        <f t="shared" si="449"/>
        <v>0</v>
      </c>
      <c r="S298" s="155">
        <f t="shared" si="449"/>
        <v>0</v>
      </c>
      <c r="T298" s="155">
        <f t="shared" si="456"/>
        <v>-334183.23332160001</v>
      </c>
      <c r="U298" s="155">
        <f t="shared" si="450"/>
        <v>0</v>
      </c>
      <c r="V298" s="155">
        <f t="shared" si="450"/>
        <v>0</v>
      </c>
      <c r="W298" s="155">
        <f t="shared" si="451"/>
        <v>-334183.23332160001</v>
      </c>
      <c r="X298" s="155">
        <f t="shared" si="452"/>
        <v>0</v>
      </c>
      <c r="Y298" s="155">
        <f t="shared" si="452"/>
        <v>0</v>
      </c>
      <c r="Z298" s="155">
        <f t="shared" si="453"/>
        <v>-334183.23332160001</v>
      </c>
      <c r="AA298" s="172">
        <f>VLOOKUP($A298,'E&amp;G Splits'!$A$5:$I$45,AA$281,FALSE)</f>
        <v>0.8216</v>
      </c>
      <c r="AB298" s="155">
        <f t="shared" si="454"/>
        <v>0</v>
      </c>
      <c r="AC298" s="155">
        <f t="shared" si="454"/>
        <v>0</v>
      </c>
      <c r="AD298" s="155">
        <f t="shared" si="457"/>
        <v>-338578.40675879997</v>
      </c>
      <c r="AE298" s="155">
        <f t="shared" si="457"/>
        <v>0</v>
      </c>
      <c r="AF298" s="155">
        <f t="shared" si="457"/>
        <v>0</v>
      </c>
      <c r="AG298" s="155">
        <f t="shared" si="457"/>
        <v>-338578.40675879997</v>
      </c>
      <c r="AH298" s="155">
        <f t="shared" si="457"/>
        <v>0</v>
      </c>
      <c r="AI298" s="155">
        <f t="shared" si="457"/>
        <v>0</v>
      </c>
      <c r="AJ298" s="155">
        <f t="shared" si="457"/>
        <v>-338578.40675879997</v>
      </c>
      <c r="AK298" s="155">
        <f t="shared" si="457"/>
        <v>0</v>
      </c>
      <c r="AL298" s="155">
        <f t="shared" si="457"/>
        <v>0</v>
      </c>
      <c r="AM298" s="155">
        <f t="shared" si="457"/>
        <v>-338578.40675879997</v>
      </c>
      <c r="AN298" s="172">
        <f>VLOOKUP($A298,'E&amp;G Splits'!$A$5:$I$45,AN$281,FALSE)</f>
        <v>0.8216</v>
      </c>
      <c r="AO298" s="172"/>
    </row>
    <row r="299" spans="1:41" x14ac:dyDescent="0.15">
      <c r="A299" s="39" t="s">
        <v>41</v>
      </c>
      <c r="B299" s="39" t="s">
        <v>41</v>
      </c>
      <c r="E299" s="39">
        <f t="shared" si="442"/>
        <v>2</v>
      </c>
      <c r="G299" s="172"/>
      <c r="H299" s="155">
        <f t="shared" si="443"/>
        <v>0</v>
      </c>
      <c r="I299" s="155">
        <f t="shared" si="443"/>
        <v>0</v>
      </c>
      <c r="J299" s="155">
        <f t="shared" si="444"/>
        <v>52219.645258807162</v>
      </c>
      <c r="K299" s="155">
        <f t="shared" si="445"/>
        <v>0</v>
      </c>
      <c r="L299" s="155">
        <f t="shared" si="445"/>
        <v>0</v>
      </c>
      <c r="M299" s="155">
        <f t="shared" si="446"/>
        <v>52219.645258807162</v>
      </c>
      <c r="N299" s="172">
        <f>VLOOKUP($A299,'E&amp;G Splits'!$A$5:$I$45,N$281,FALSE)</f>
        <v>0.8216</v>
      </c>
      <c r="O299" s="155">
        <f t="shared" si="447"/>
        <v>0</v>
      </c>
      <c r="P299" s="155">
        <f t="shared" si="447"/>
        <v>0</v>
      </c>
      <c r="Q299" s="155">
        <f t="shared" si="448"/>
        <v>52553.982131534052</v>
      </c>
      <c r="R299" s="155">
        <f t="shared" si="449"/>
        <v>0</v>
      </c>
      <c r="S299" s="155">
        <f t="shared" si="449"/>
        <v>0</v>
      </c>
      <c r="T299" s="155">
        <f t="shared" si="456"/>
        <v>52553.982131534052</v>
      </c>
      <c r="U299" s="155">
        <f t="shared" si="450"/>
        <v>0</v>
      </c>
      <c r="V299" s="155">
        <f t="shared" si="450"/>
        <v>0</v>
      </c>
      <c r="W299" s="155">
        <f t="shared" si="451"/>
        <v>52553.982131534052</v>
      </c>
      <c r="X299" s="155">
        <f t="shared" si="452"/>
        <v>0</v>
      </c>
      <c r="Y299" s="155">
        <f t="shared" si="452"/>
        <v>0</v>
      </c>
      <c r="Z299" s="155">
        <f t="shared" si="453"/>
        <v>52553.982131534052</v>
      </c>
      <c r="AA299" s="172">
        <f>VLOOKUP($A299,'E&amp;G Splits'!$A$5:$I$45,AA$281,FALSE)</f>
        <v>0.8216</v>
      </c>
      <c r="AB299" s="155">
        <f t="shared" si="454"/>
        <v>0</v>
      </c>
      <c r="AC299" s="155">
        <f t="shared" si="454"/>
        <v>0</v>
      </c>
      <c r="AD299" s="155">
        <f t="shared" si="457"/>
        <v>39843.020434286664</v>
      </c>
      <c r="AE299" s="155">
        <f t="shared" si="457"/>
        <v>0</v>
      </c>
      <c r="AF299" s="155">
        <f t="shared" si="457"/>
        <v>0</v>
      </c>
      <c r="AG299" s="155">
        <f t="shared" si="457"/>
        <v>39843.020434286664</v>
      </c>
      <c r="AH299" s="155">
        <f t="shared" si="457"/>
        <v>0</v>
      </c>
      <c r="AI299" s="155">
        <f t="shared" si="457"/>
        <v>0</v>
      </c>
      <c r="AJ299" s="155">
        <f t="shared" si="457"/>
        <v>39843.020434286664</v>
      </c>
      <c r="AK299" s="155">
        <f t="shared" si="457"/>
        <v>0</v>
      </c>
      <c r="AL299" s="155">
        <f t="shared" si="457"/>
        <v>0</v>
      </c>
      <c r="AM299" s="155">
        <f t="shared" si="457"/>
        <v>39843.020434286664</v>
      </c>
      <c r="AN299" s="172">
        <f>VLOOKUP($A299,'E&amp;G Splits'!$A$5:$I$45,AN$281,FALSE)</f>
        <v>0.8216</v>
      </c>
      <c r="AO299" s="172"/>
    </row>
    <row r="300" spans="1:41" x14ac:dyDescent="0.15">
      <c r="A300" s="39" t="s">
        <v>70</v>
      </c>
      <c r="B300" s="39" t="s">
        <v>70</v>
      </c>
      <c r="E300" s="39">
        <f t="shared" si="442"/>
        <v>1</v>
      </c>
      <c r="G300" s="172"/>
      <c r="H300" s="155">
        <f t="shared" si="443"/>
        <v>0</v>
      </c>
      <c r="I300" s="155">
        <f t="shared" si="443"/>
        <v>0</v>
      </c>
      <c r="J300" s="155">
        <f t="shared" si="444"/>
        <v>0</v>
      </c>
      <c r="K300" s="155">
        <f t="shared" si="445"/>
        <v>0</v>
      </c>
      <c r="L300" s="155">
        <f t="shared" si="445"/>
        <v>0</v>
      </c>
      <c r="M300" s="155">
        <f t="shared" si="446"/>
        <v>0</v>
      </c>
      <c r="N300" s="172">
        <f>VLOOKUP($A300,'E&amp;G Splits'!$A$5:$I$45,N$281,FALSE)</f>
        <v>1</v>
      </c>
      <c r="O300" s="155">
        <f t="shared" si="447"/>
        <v>0</v>
      </c>
      <c r="P300" s="155">
        <f t="shared" si="447"/>
        <v>0</v>
      </c>
      <c r="Q300" s="155">
        <f t="shared" si="448"/>
        <v>0</v>
      </c>
      <c r="R300" s="155">
        <f t="shared" si="449"/>
        <v>0</v>
      </c>
      <c r="S300" s="155">
        <f t="shared" si="449"/>
        <v>0</v>
      </c>
      <c r="T300" s="155">
        <f t="shared" si="456"/>
        <v>0</v>
      </c>
      <c r="U300" s="155">
        <f t="shared" si="450"/>
        <v>0</v>
      </c>
      <c r="V300" s="155">
        <f t="shared" si="450"/>
        <v>0</v>
      </c>
      <c r="W300" s="155">
        <f t="shared" si="451"/>
        <v>0</v>
      </c>
      <c r="X300" s="155">
        <f t="shared" si="452"/>
        <v>0</v>
      </c>
      <c r="Y300" s="155">
        <f t="shared" si="452"/>
        <v>0</v>
      </c>
      <c r="Z300" s="155">
        <f t="shared" si="453"/>
        <v>0</v>
      </c>
      <c r="AA300" s="172">
        <f>VLOOKUP($A300,'E&amp;G Splits'!$A$5:$I$45,AA$281,FALSE)</f>
        <v>1</v>
      </c>
      <c r="AB300" s="155">
        <f t="shared" si="454"/>
        <v>0</v>
      </c>
      <c r="AC300" s="155">
        <f t="shared" si="454"/>
        <v>0</v>
      </c>
      <c r="AD300" s="155">
        <f t="shared" si="457"/>
        <v>0</v>
      </c>
      <c r="AE300" s="155">
        <f t="shared" si="457"/>
        <v>0</v>
      </c>
      <c r="AF300" s="155">
        <f t="shared" si="457"/>
        <v>0</v>
      </c>
      <c r="AG300" s="155">
        <f t="shared" si="457"/>
        <v>0</v>
      </c>
      <c r="AH300" s="155">
        <f t="shared" si="457"/>
        <v>0</v>
      </c>
      <c r="AI300" s="155">
        <f t="shared" si="457"/>
        <v>0</v>
      </c>
      <c r="AJ300" s="155">
        <f t="shared" si="457"/>
        <v>0</v>
      </c>
      <c r="AK300" s="155">
        <f t="shared" si="457"/>
        <v>0</v>
      </c>
      <c r="AL300" s="155">
        <f t="shared" si="457"/>
        <v>0</v>
      </c>
      <c r="AM300" s="155">
        <f t="shared" si="457"/>
        <v>0</v>
      </c>
      <c r="AN300" s="172">
        <f>VLOOKUP($A300,'E&amp;G Splits'!$A$5:$I$45,AN$281,FALSE)</f>
        <v>1</v>
      </c>
      <c r="AO300" s="172"/>
    </row>
    <row r="301" spans="1:41" x14ac:dyDescent="0.15">
      <c r="A301" s="39" t="s">
        <v>305</v>
      </c>
      <c r="B301" s="39" t="s">
        <v>65</v>
      </c>
      <c r="E301" s="39">
        <f t="shared" si="442"/>
        <v>0</v>
      </c>
      <c r="G301" s="172"/>
      <c r="H301" s="155">
        <f t="shared" si="443"/>
        <v>0</v>
      </c>
      <c r="I301" s="155">
        <f t="shared" si="443"/>
        <v>0</v>
      </c>
      <c r="J301" s="155">
        <f t="shared" si="444"/>
        <v>93494.26747672756</v>
      </c>
      <c r="K301" s="155">
        <f t="shared" si="445"/>
        <v>0</v>
      </c>
      <c r="L301" s="155">
        <f t="shared" si="445"/>
        <v>0</v>
      </c>
      <c r="M301" s="155">
        <f t="shared" si="446"/>
        <v>93494.26747672756</v>
      </c>
      <c r="N301" s="172">
        <f>VLOOKUP($A301,'E&amp;G Splits'!$A$5:$I$45,N$281,FALSE)</f>
        <v>0.8216</v>
      </c>
      <c r="O301" s="155">
        <f t="shared" si="447"/>
        <v>0</v>
      </c>
      <c r="P301" s="155">
        <f t="shared" si="447"/>
        <v>0</v>
      </c>
      <c r="Q301" s="155">
        <f t="shared" si="448"/>
        <v>-39588.497033727115</v>
      </c>
      <c r="R301" s="155">
        <f t="shared" si="449"/>
        <v>0</v>
      </c>
      <c r="S301" s="155">
        <f t="shared" si="449"/>
        <v>0</v>
      </c>
      <c r="T301" s="155">
        <f t="shared" si="456"/>
        <v>-39588.497033727115</v>
      </c>
      <c r="U301" s="155">
        <f t="shared" si="450"/>
        <v>0</v>
      </c>
      <c r="V301" s="155">
        <f t="shared" si="450"/>
        <v>0</v>
      </c>
      <c r="W301" s="155">
        <f t="shared" si="451"/>
        <v>-39588.497033727115</v>
      </c>
      <c r="X301" s="155">
        <f t="shared" si="452"/>
        <v>0</v>
      </c>
      <c r="Y301" s="155">
        <f t="shared" si="452"/>
        <v>0</v>
      </c>
      <c r="Z301" s="155">
        <f t="shared" si="453"/>
        <v>-39588.497033727115</v>
      </c>
      <c r="AA301" s="172">
        <f>VLOOKUP($A301,'E&amp;G Splits'!$A$5:$I$45,AA$281,FALSE)</f>
        <v>0.8216</v>
      </c>
      <c r="AB301" s="155">
        <f t="shared" si="454"/>
        <v>0</v>
      </c>
      <c r="AC301" s="155">
        <f t="shared" si="454"/>
        <v>0</v>
      </c>
      <c r="AD301" s="155">
        <f t="shared" si="457"/>
        <v>-99404.263090642184</v>
      </c>
      <c r="AE301" s="155">
        <f t="shared" si="457"/>
        <v>0</v>
      </c>
      <c r="AF301" s="155">
        <f t="shared" si="457"/>
        <v>0</v>
      </c>
      <c r="AG301" s="155">
        <f t="shared" si="457"/>
        <v>-99404.263090642184</v>
      </c>
      <c r="AH301" s="155">
        <f t="shared" si="457"/>
        <v>0</v>
      </c>
      <c r="AI301" s="155">
        <f t="shared" si="457"/>
        <v>0</v>
      </c>
      <c r="AJ301" s="155">
        <f t="shared" si="457"/>
        <v>-99404.263090642184</v>
      </c>
      <c r="AK301" s="155">
        <f t="shared" si="457"/>
        <v>0</v>
      </c>
      <c r="AL301" s="155">
        <f t="shared" si="457"/>
        <v>0</v>
      </c>
      <c r="AM301" s="155">
        <f t="shared" si="457"/>
        <v>-99404.263090642184</v>
      </c>
      <c r="AN301" s="172">
        <f>VLOOKUP($A301,'E&amp;G Splits'!$A$5:$I$45,AN$281,FALSE)</f>
        <v>0.8216</v>
      </c>
      <c r="AO301" s="172"/>
    </row>
    <row r="302" spans="1:41" x14ac:dyDescent="0.15">
      <c r="A302" s="39" t="s">
        <v>306</v>
      </c>
      <c r="B302" s="39" t="s">
        <v>65</v>
      </c>
      <c r="E302" s="39">
        <f t="shared" si="442"/>
        <v>0</v>
      </c>
      <c r="G302" s="172"/>
      <c r="H302" s="155">
        <f t="shared" si="443"/>
        <v>0</v>
      </c>
      <c r="I302" s="155">
        <f t="shared" si="443"/>
        <v>0</v>
      </c>
      <c r="J302" s="155">
        <f t="shared" si="444"/>
        <v>-33329.3477699</v>
      </c>
      <c r="K302" s="155">
        <f t="shared" si="445"/>
        <v>0</v>
      </c>
      <c r="L302" s="155">
        <f t="shared" si="445"/>
        <v>0</v>
      </c>
      <c r="M302" s="155">
        <f t="shared" si="446"/>
        <v>-33329.3477699</v>
      </c>
      <c r="N302" s="172">
        <f>VLOOKUP($A302,'E&amp;G Splits'!$A$5:$I$45,N$281,FALSE)</f>
        <v>0.8216</v>
      </c>
      <c r="O302" s="155">
        <f t="shared" si="447"/>
        <v>0</v>
      </c>
      <c r="P302" s="155">
        <f t="shared" si="447"/>
        <v>0</v>
      </c>
      <c r="Q302" s="155">
        <f t="shared" si="448"/>
        <v>0</v>
      </c>
      <c r="R302" s="155">
        <f t="shared" si="449"/>
        <v>0</v>
      </c>
      <c r="S302" s="155">
        <f t="shared" si="449"/>
        <v>0</v>
      </c>
      <c r="T302" s="155">
        <f t="shared" si="456"/>
        <v>0</v>
      </c>
      <c r="U302" s="155">
        <f t="shared" si="450"/>
        <v>0</v>
      </c>
      <c r="V302" s="155">
        <f t="shared" si="450"/>
        <v>0</v>
      </c>
      <c r="W302" s="155">
        <f t="shared" si="451"/>
        <v>0</v>
      </c>
      <c r="X302" s="155">
        <f t="shared" si="452"/>
        <v>0</v>
      </c>
      <c r="Y302" s="155">
        <f t="shared" si="452"/>
        <v>0</v>
      </c>
      <c r="Z302" s="155">
        <f t="shared" si="453"/>
        <v>0</v>
      </c>
      <c r="AA302" s="172">
        <f>VLOOKUP($A302,'E&amp;G Splits'!$A$5:$I$45,AA$281,FALSE)</f>
        <v>0.8216</v>
      </c>
      <c r="AB302" s="155">
        <f t="shared" si="454"/>
        <v>0</v>
      </c>
      <c r="AC302" s="155">
        <f t="shared" si="454"/>
        <v>0</v>
      </c>
      <c r="AD302" s="155">
        <f>(SUMIF($A$176:$A$215,$A302,AD$176:AD$215)*0.21+SUMIF($A$226:$A$264,$A302,AD$226:AD$264)*0.05*0.79)*$AN302</f>
        <v>0</v>
      </c>
      <c r="AE302" s="155">
        <f>(SUMIF($A$176:$A$215,$A302,AE$176:AE$215)*0.21+SUMIF($A$226:$A$264,$A302,AE$226:AE$264)*0.05*0.79)*$AN302</f>
        <v>0</v>
      </c>
      <c r="AF302" s="155">
        <f>(SUMIF($A$176:$A$215,$A302,AF$176:AF$215)*0.21+SUMIF($A$226:$A$264,$A302,AF$226:AF$264)*0.05*0.79)*$AN302</f>
        <v>0</v>
      </c>
      <c r="AG302" s="155">
        <f t="shared" ref="AE302:AM317" si="458">(SUMIF($A$176:$A$215,$A302,AG$176:AG$215)*0.21+SUMIF($A$226:$A$264,$A302,AG$226:AG$264)*0.05*0.79)*$AN302</f>
        <v>0</v>
      </c>
      <c r="AH302" s="155">
        <f t="shared" si="458"/>
        <v>0</v>
      </c>
      <c r="AI302" s="155">
        <f t="shared" si="458"/>
        <v>0</v>
      </c>
      <c r="AJ302" s="155">
        <f t="shared" si="458"/>
        <v>0</v>
      </c>
      <c r="AK302" s="155">
        <f t="shared" si="458"/>
        <v>0</v>
      </c>
      <c r="AL302" s="155">
        <f t="shared" si="458"/>
        <v>0</v>
      </c>
      <c r="AM302" s="155">
        <f t="shared" si="458"/>
        <v>0</v>
      </c>
      <c r="AN302" s="172">
        <f>VLOOKUP($A302,'E&amp;G Splits'!$A$5:$I$45,AN$281,FALSE)</f>
        <v>0.8216</v>
      </c>
      <c r="AO302" s="172"/>
    </row>
    <row r="303" spans="1:41" x14ac:dyDescent="0.15">
      <c r="A303" s="39" t="s">
        <v>75</v>
      </c>
      <c r="B303" s="39" t="s">
        <v>75</v>
      </c>
      <c r="E303" s="39">
        <f t="shared" si="442"/>
        <v>2</v>
      </c>
      <c r="G303" s="172"/>
      <c r="H303" s="155">
        <f t="shared" si="443"/>
        <v>0</v>
      </c>
      <c r="I303" s="155">
        <f t="shared" si="443"/>
        <v>0</v>
      </c>
      <c r="J303" s="155">
        <f t="shared" si="444"/>
        <v>-40848.480104150789</v>
      </c>
      <c r="K303" s="155">
        <f t="shared" si="445"/>
        <v>0</v>
      </c>
      <c r="L303" s="155">
        <f t="shared" si="445"/>
        <v>0</v>
      </c>
      <c r="M303" s="155">
        <f t="shared" si="446"/>
        <v>-40848.480104150789</v>
      </c>
      <c r="N303" s="172">
        <f>VLOOKUP($A303,'E&amp;G Splits'!$A$5:$I$45,N$281,FALSE)</f>
        <v>0.8216</v>
      </c>
      <c r="O303" s="155">
        <f t="shared" si="447"/>
        <v>0</v>
      </c>
      <c r="P303" s="155">
        <f t="shared" si="447"/>
        <v>0</v>
      </c>
      <c r="Q303" s="155">
        <f t="shared" si="448"/>
        <v>24488.523489721876</v>
      </c>
      <c r="R303" s="155">
        <f t="shared" si="449"/>
        <v>0</v>
      </c>
      <c r="S303" s="155">
        <f t="shared" si="449"/>
        <v>0</v>
      </c>
      <c r="T303" s="155">
        <f t="shared" si="456"/>
        <v>24488.523489721876</v>
      </c>
      <c r="U303" s="155">
        <f t="shared" si="450"/>
        <v>0</v>
      </c>
      <c r="V303" s="155">
        <f t="shared" si="450"/>
        <v>0</v>
      </c>
      <c r="W303" s="155">
        <f t="shared" si="451"/>
        <v>24488.523489721876</v>
      </c>
      <c r="X303" s="155">
        <f t="shared" si="452"/>
        <v>0</v>
      </c>
      <c r="Y303" s="155">
        <f t="shared" si="452"/>
        <v>0</v>
      </c>
      <c r="Z303" s="155">
        <f t="shared" si="453"/>
        <v>24488.523489721876</v>
      </c>
      <c r="AA303" s="172">
        <f>VLOOKUP($A303,'E&amp;G Splits'!$A$5:$I$45,AA$281,FALSE)</f>
        <v>0.8216</v>
      </c>
      <c r="AB303" s="155">
        <f t="shared" si="454"/>
        <v>0</v>
      </c>
      <c r="AC303" s="155">
        <f t="shared" si="454"/>
        <v>0</v>
      </c>
      <c r="AD303" s="155">
        <f t="shared" ref="AD303:AD320" si="459">(SUMIF($A$176:$A$215,$A303,AD$176:AD$215)*0.21+SUMIF($A$226:$A$264,$A303,AD$226:AD$264)*0.05*0.79)*$AN303</f>
        <v>53281.590650640166</v>
      </c>
      <c r="AE303" s="155">
        <f t="shared" si="458"/>
        <v>0</v>
      </c>
      <c r="AF303" s="155">
        <f t="shared" si="458"/>
        <v>0</v>
      </c>
      <c r="AG303" s="155">
        <f t="shared" si="458"/>
        <v>53281.590650640166</v>
      </c>
      <c r="AH303" s="155">
        <f t="shared" si="458"/>
        <v>0</v>
      </c>
      <c r="AI303" s="155">
        <f t="shared" si="458"/>
        <v>0</v>
      </c>
      <c r="AJ303" s="155">
        <f t="shared" si="458"/>
        <v>53281.590650640166</v>
      </c>
      <c r="AK303" s="155">
        <f t="shared" si="458"/>
        <v>0</v>
      </c>
      <c r="AL303" s="155">
        <f t="shared" si="458"/>
        <v>0</v>
      </c>
      <c r="AM303" s="155">
        <f t="shared" si="458"/>
        <v>53281.590650640166</v>
      </c>
      <c r="AN303" s="172">
        <f>VLOOKUP($A303,'E&amp;G Splits'!$A$5:$I$45,AN$281,FALSE)</f>
        <v>0.8216</v>
      </c>
      <c r="AO303" s="172"/>
    </row>
    <row r="304" spans="1:41" x14ac:dyDescent="0.15">
      <c r="A304" s="39" t="s">
        <v>38</v>
      </c>
      <c r="B304" s="39" t="s">
        <v>38</v>
      </c>
      <c r="E304" s="39">
        <f t="shared" si="442"/>
        <v>2</v>
      </c>
      <c r="G304" s="172"/>
      <c r="H304" s="155">
        <f t="shared" si="443"/>
        <v>0</v>
      </c>
      <c r="I304" s="155">
        <f t="shared" si="443"/>
        <v>0</v>
      </c>
      <c r="J304" s="155">
        <f t="shared" si="444"/>
        <v>272144.95649003633</v>
      </c>
      <c r="K304" s="155">
        <f t="shared" si="445"/>
        <v>0</v>
      </c>
      <c r="L304" s="155">
        <f t="shared" si="445"/>
        <v>0</v>
      </c>
      <c r="M304" s="155">
        <f t="shared" si="446"/>
        <v>272144.95649003633</v>
      </c>
      <c r="N304" s="172">
        <f>VLOOKUP($A304,'E&amp;G Splits'!$A$5:$I$45,N$281,FALSE)</f>
        <v>0.99525675162766813</v>
      </c>
      <c r="O304" s="155">
        <f t="shared" si="447"/>
        <v>0</v>
      </c>
      <c r="P304" s="155">
        <f t="shared" si="447"/>
        <v>0</v>
      </c>
      <c r="Q304" s="155">
        <f t="shared" si="448"/>
        <v>195386.13524632456</v>
      </c>
      <c r="R304" s="155">
        <f t="shared" si="449"/>
        <v>0</v>
      </c>
      <c r="S304" s="155">
        <f t="shared" si="449"/>
        <v>0</v>
      </c>
      <c r="T304" s="155">
        <f t="shared" si="456"/>
        <v>195386.13524632456</v>
      </c>
      <c r="U304" s="155">
        <f t="shared" si="450"/>
        <v>0</v>
      </c>
      <c r="V304" s="155">
        <f t="shared" si="450"/>
        <v>0</v>
      </c>
      <c r="W304" s="155">
        <f t="shared" si="451"/>
        <v>195386.13524632456</v>
      </c>
      <c r="X304" s="155">
        <f t="shared" si="452"/>
        <v>0</v>
      </c>
      <c r="Y304" s="155">
        <f t="shared" si="452"/>
        <v>0</v>
      </c>
      <c r="Z304" s="155">
        <f t="shared" si="453"/>
        <v>195386.13524632456</v>
      </c>
      <c r="AA304" s="172">
        <f>VLOOKUP($A304,'E&amp;G Splits'!$A$5:$I$45,AA$281,FALSE)</f>
        <v>0.99525675162766813</v>
      </c>
      <c r="AB304" s="155">
        <f t="shared" si="454"/>
        <v>0</v>
      </c>
      <c r="AC304" s="155">
        <f t="shared" si="454"/>
        <v>0</v>
      </c>
      <c r="AD304" s="155">
        <f t="shared" si="459"/>
        <v>157006.72487331726</v>
      </c>
      <c r="AE304" s="155">
        <f t="shared" si="458"/>
        <v>0</v>
      </c>
      <c r="AF304" s="155">
        <f t="shared" si="458"/>
        <v>0</v>
      </c>
      <c r="AG304" s="155">
        <f t="shared" si="458"/>
        <v>157006.72487331726</v>
      </c>
      <c r="AH304" s="155">
        <f t="shared" si="458"/>
        <v>0</v>
      </c>
      <c r="AI304" s="155">
        <f t="shared" si="458"/>
        <v>0</v>
      </c>
      <c r="AJ304" s="155">
        <f t="shared" si="458"/>
        <v>157006.72487331726</v>
      </c>
      <c r="AK304" s="155">
        <f t="shared" si="458"/>
        <v>0</v>
      </c>
      <c r="AL304" s="155">
        <f t="shared" si="458"/>
        <v>0</v>
      </c>
      <c r="AM304" s="155">
        <f t="shared" si="458"/>
        <v>157006.72487331726</v>
      </c>
      <c r="AN304" s="172">
        <f>VLOOKUP($A304,'E&amp;G Splits'!$A$5:$I$45,AN$281,FALSE)</f>
        <v>0.99525675162766813</v>
      </c>
      <c r="AO304" s="172"/>
    </row>
    <row r="305" spans="1:41" x14ac:dyDescent="0.15">
      <c r="A305" s="39" t="s">
        <v>80</v>
      </c>
      <c r="B305" s="39" t="s">
        <v>80</v>
      </c>
      <c r="E305" s="39">
        <f t="shared" si="442"/>
        <v>2</v>
      </c>
      <c r="G305" s="172"/>
      <c r="H305" s="155">
        <f t="shared" si="443"/>
        <v>0</v>
      </c>
      <c r="I305" s="155">
        <f t="shared" si="443"/>
        <v>0</v>
      </c>
      <c r="J305" s="155">
        <f t="shared" si="444"/>
        <v>-1515551.074848939</v>
      </c>
      <c r="K305" s="155">
        <f t="shared" si="445"/>
        <v>0</v>
      </c>
      <c r="L305" s="155">
        <f t="shared" si="445"/>
        <v>0</v>
      </c>
      <c r="M305" s="155">
        <f t="shared" si="446"/>
        <v>-1515551.074848939</v>
      </c>
      <c r="N305" s="172">
        <f>VLOOKUP($A305,'E&amp;G Splits'!$A$5:$I$45,N$281,FALSE)</f>
        <v>0.80991373405420919</v>
      </c>
      <c r="O305" s="155">
        <f t="shared" si="447"/>
        <v>0</v>
      </c>
      <c r="P305" s="155">
        <f t="shared" si="447"/>
        <v>0</v>
      </c>
      <c r="Q305" s="155">
        <f t="shared" si="448"/>
        <v>-1568544.7222305287</v>
      </c>
      <c r="R305" s="155">
        <f t="shared" si="449"/>
        <v>0</v>
      </c>
      <c r="S305" s="155">
        <f t="shared" si="449"/>
        <v>0</v>
      </c>
      <c r="T305" s="155">
        <f t="shared" si="456"/>
        <v>-1568544.7222305287</v>
      </c>
      <c r="U305" s="155">
        <f t="shared" si="450"/>
        <v>0</v>
      </c>
      <c r="V305" s="155">
        <f t="shared" si="450"/>
        <v>0</v>
      </c>
      <c r="W305" s="155">
        <f t="shared" si="451"/>
        <v>-1568544.7222305287</v>
      </c>
      <c r="X305" s="155">
        <f t="shared" si="452"/>
        <v>0</v>
      </c>
      <c r="Y305" s="155">
        <f t="shared" si="452"/>
        <v>0</v>
      </c>
      <c r="Z305" s="155">
        <f t="shared" si="453"/>
        <v>-1568544.7222305287</v>
      </c>
      <c r="AA305" s="172">
        <f>VLOOKUP($A305,'E&amp;G Splits'!$A$5:$I$45,AA$281,FALSE)</f>
        <v>0.83823365249460446</v>
      </c>
      <c r="AB305" s="155">
        <f t="shared" si="454"/>
        <v>0</v>
      </c>
      <c r="AC305" s="155">
        <f t="shared" si="454"/>
        <v>0</v>
      </c>
      <c r="AD305" s="155">
        <f t="shared" si="459"/>
        <v>-1576703.5194584897</v>
      </c>
      <c r="AE305" s="155">
        <f t="shared" si="458"/>
        <v>0</v>
      </c>
      <c r="AF305" s="155">
        <f t="shared" si="458"/>
        <v>0</v>
      </c>
      <c r="AG305" s="155">
        <f t="shared" si="458"/>
        <v>-1576703.5194584897</v>
      </c>
      <c r="AH305" s="155">
        <f t="shared" si="458"/>
        <v>0</v>
      </c>
      <c r="AI305" s="155">
        <f t="shared" si="458"/>
        <v>0</v>
      </c>
      <c r="AJ305" s="155">
        <f t="shared" si="458"/>
        <v>-1576703.5194584897</v>
      </c>
      <c r="AK305" s="155">
        <f t="shared" si="458"/>
        <v>0</v>
      </c>
      <c r="AL305" s="155">
        <f t="shared" si="458"/>
        <v>0</v>
      </c>
      <c r="AM305" s="155">
        <f t="shared" si="458"/>
        <v>-1576703.5194584897</v>
      </c>
      <c r="AN305" s="172">
        <f>VLOOKUP($A305,'E&amp;G Splits'!$A$5:$I$45,AN$281,FALSE)</f>
        <v>0.84259373117354164</v>
      </c>
      <c r="AO305" s="172"/>
    </row>
    <row r="306" spans="1:41" x14ac:dyDescent="0.15">
      <c r="A306" s="39" t="s">
        <v>627</v>
      </c>
      <c r="B306" s="39" t="s">
        <v>627</v>
      </c>
      <c r="E306" s="39">
        <f t="shared" si="442"/>
        <v>1</v>
      </c>
      <c r="G306" s="172"/>
      <c r="H306" s="155"/>
      <c r="J306" s="155">
        <f t="shared" si="444"/>
        <v>102013.6755049143</v>
      </c>
      <c r="M306" s="155">
        <f t="shared" si="446"/>
        <v>102013.6755049143</v>
      </c>
      <c r="N306" s="172">
        <v>1</v>
      </c>
      <c r="O306" s="155">
        <f t="shared" ref="O306:P309" si="460">(SUMIF($A$176:$A$215,$A306,O$176:O$215)*0.35+SUMIF($A$226:$A$264,$A306,O$226:O$264)*0.06*0.65)*$AA306</f>
        <v>0</v>
      </c>
      <c r="P306" s="155">
        <f t="shared" si="460"/>
        <v>0</v>
      </c>
      <c r="Q306" s="155">
        <f t="shared" si="448"/>
        <v>-234249.64132123539</v>
      </c>
      <c r="R306" s="155">
        <f t="shared" ref="R306:S309" si="461">(SUMIF($A$176:$A$215,$A306,R$176:R$215)*0.35+SUMIF($A$226:$A$264,$A306,R$226:R$264)*0.06*0.65)*$AA306</f>
        <v>0</v>
      </c>
      <c r="S306" s="155">
        <f t="shared" si="461"/>
        <v>0</v>
      </c>
      <c r="T306" s="155">
        <f t="shared" si="456"/>
        <v>-234249.64132123539</v>
      </c>
      <c r="U306" s="155">
        <f t="shared" ref="U306:V309" si="462">(SUMIF($A$176:$A$215,$A306,U$176:U$215)*0.35+SUMIF($A$226:$A$264,$A306,U$226:U$264)*0.06*0.65)*$AA306</f>
        <v>0</v>
      </c>
      <c r="V306" s="155">
        <f t="shared" si="462"/>
        <v>0</v>
      </c>
      <c r="W306" s="155">
        <f t="shared" si="451"/>
        <v>-234249.64132123539</v>
      </c>
      <c r="X306" s="155">
        <f t="shared" ref="X306:Y309" si="463">(SUMIF($A$176:$A$215,$A306,X$176:X$215)*0.35+SUMIF($A$226:$A$264,$A306,X$226:X$264)*0.06*0.65)*$AA306</f>
        <v>0</v>
      </c>
      <c r="Y306" s="155">
        <f t="shared" si="463"/>
        <v>0</v>
      </c>
      <c r="Z306" s="155">
        <f t="shared" si="453"/>
        <v>-234249.64132123539</v>
      </c>
      <c r="AA306" s="172">
        <v>1</v>
      </c>
      <c r="AB306" s="155">
        <f t="shared" ref="AB306:AC309" si="464">(SUMIF($A$176:$A$215,$A306,AB$176:AB$215)*0.21+SUMIF($A$226:$A$264,$A306,AB$226:AB$264)*0.05*0.79)*$AN306</f>
        <v>0</v>
      </c>
      <c r="AC306" s="155">
        <f t="shared" si="464"/>
        <v>0</v>
      </c>
      <c r="AD306" s="155">
        <f t="shared" si="459"/>
        <v>0</v>
      </c>
      <c r="AE306" s="155">
        <f t="shared" si="458"/>
        <v>0</v>
      </c>
      <c r="AF306" s="155">
        <f t="shared" si="458"/>
        <v>0</v>
      </c>
      <c r="AG306" s="155">
        <f t="shared" si="458"/>
        <v>0</v>
      </c>
      <c r="AH306" s="155">
        <f t="shared" si="458"/>
        <v>0</v>
      </c>
      <c r="AI306" s="155">
        <f t="shared" si="458"/>
        <v>0</v>
      </c>
      <c r="AJ306" s="155">
        <f t="shared" si="458"/>
        <v>0</v>
      </c>
      <c r="AK306" s="155">
        <f t="shared" si="458"/>
        <v>0</v>
      </c>
      <c r="AL306" s="155">
        <f t="shared" si="458"/>
        <v>0</v>
      </c>
      <c r="AM306" s="155">
        <f t="shared" si="458"/>
        <v>0</v>
      </c>
      <c r="AN306" s="172">
        <v>1</v>
      </c>
      <c r="AO306" s="172"/>
    </row>
    <row r="307" spans="1:41" x14ac:dyDescent="0.15">
      <c r="A307" s="39" t="s">
        <v>1036</v>
      </c>
      <c r="B307" s="39" t="s">
        <v>1036</v>
      </c>
      <c r="E307" s="39">
        <f t="shared" si="442"/>
        <v>1</v>
      </c>
      <c r="G307" s="172"/>
      <c r="H307" s="155"/>
      <c r="J307" s="155">
        <f t="shared" si="444"/>
        <v>-206421.83813680697</v>
      </c>
      <c r="M307" s="155">
        <f t="shared" si="446"/>
        <v>-206421.83813680697</v>
      </c>
      <c r="N307" s="172">
        <v>1</v>
      </c>
      <c r="O307" s="155">
        <f t="shared" si="460"/>
        <v>0</v>
      </c>
      <c r="P307" s="155">
        <f t="shared" si="460"/>
        <v>0</v>
      </c>
      <c r="Q307" s="155">
        <f t="shared" si="448"/>
        <v>-455787.57548502198</v>
      </c>
      <c r="R307" s="155">
        <f t="shared" si="461"/>
        <v>0</v>
      </c>
      <c r="S307" s="155">
        <f t="shared" si="461"/>
        <v>0</v>
      </c>
      <c r="T307" s="155">
        <f t="shared" si="456"/>
        <v>-455787.57548502198</v>
      </c>
      <c r="U307" s="155">
        <f t="shared" si="462"/>
        <v>0</v>
      </c>
      <c r="V307" s="155">
        <f t="shared" si="462"/>
        <v>0</v>
      </c>
      <c r="W307" s="155">
        <f t="shared" si="451"/>
        <v>-455787.57548502198</v>
      </c>
      <c r="X307" s="155">
        <f t="shared" si="463"/>
        <v>0</v>
      </c>
      <c r="Y307" s="155">
        <f t="shared" si="463"/>
        <v>0</v>
      </c>
      <c r="Z307" s="155">
        <f t="shared" si="453"/>
        <v>-455787.57548502198</v>
      </c>
      <c r="AA307" s="172">
        <v>1</v>
      </c>
      <c r="AB307" s="155">
        <f t="shared" si="464"/>
        <v>0</v>
      </c>
      <c r="AC307" s="155">
        <f t="shared" si="464"/>
        <v>0</v>
      </c>
      <c r="AD307" s="155">
        <f t="shared" si="459"/>
        <v>190407.26136958983</v>
      </c>
      <c r="AE307" s="155">
        <f t="shared" si="458"/>
        <v>0</v>
      </c>
      <c r="AF307" s="155">
        <f t="shared" si="458"/>
        <v>0</v>
      </c>
      <c r="AG307" s="155">
        <f t="shared" si="458"/>
        <v>190407.26136958983</v>
      </c>
      <c r="AH307" s="155">
        <f t="shared" si="458"/>
        <v>0</v>
      </c>
      <c r="AI307" s="155">
        <f t="shared" si="458"/>
        <v>0</v>
      </c>
      <c r="AJ307" s="155">
        <f t="shared" si="458"/>
        <v>190407.26136958983</v>
      </c>
      <c r="AK307" s="155">
        <f t="shared" si="458"/>
        <v>0</v>
      </c>
      <c r="AL307" s="155">
        <f t="shared" si="458"/>
        <v>0</v>
      </c>
      <c r="AM307" s="155">
        <f t="shared" si="458"/>
        <v>190407.26136958983</v>
      </c>
      <c r="AN307" s="172">
        <v>1</v>
      </c>
      <c r="AO307" s="172"/>
    </row>
    <row r="308" spans="1:41" x14ac:dyDescent="0.15">
      <c r="A308" s="39" t="s">
        <v>622</v>
      </c>
      <c r="B308" s="39" t="s">
        <v>622</v>
      </c>
      <c r="E308" s="39">
        <f t="shared" si="442"/>
        <v>1</v>
      </c>
      <c r="G308" s="172"/>
      <c r="H308" s="155"/>
      <c r="J308" s="155">
        <f t="shared" si="444"/>
        <v>0</v>
      </c>
      <c r="M308" s="155">
        <f t="shared" si="446"/>
        <v>0</v>
      </c>
      <c r="N308" s="172">
        <v>1</v>
      </c>
      <c r="O308" s="155">
        <f t="shared" si="460"/>
        <v>0</v>
      </c>
      <c r="P308" s="155">
        <f t="shared" si="460"/>
        <v>0</v>
      </c>
      <c r="Q308" s="155">
        <f t="shared" si="448"/>
        <v>0</v>
      </c>
      <c r="R308" s="155">
        <f t="shared" si="461"/>
        <v>0</v>
      </c>
      <c r="S308" s="155">
        <f t="shared" si="461"/>
        <v>0</v>
      </c>
      <c r="T308" s="155">
        <f t="shared" si="456"/>
        <v>0</v>
      </c>
      <c r="U308" s="155">
        <f t="shared" si="462"/>
        <v>0</v>
      </c>
      <c r="V308" s="155">
        <f t="shared" si="462"/>
        <v>0</v>
      </c>
      <c r="W308" s="155">
        <f t="shared" si="451"/>
        <v>0</v>
      </c>
      <c r="X308" s="155">
        <f t="shared" si="463"/>
        <v>0</v>
      </c>
      <c r="Y308" s="155">
        <f t="shared" si="463"/>
        <v>0</v>
      </c>
      <c r="Z308" s="155">
        <f t="shared" si="453"/>
        <v>0</v>
      </c>
      <c r="AA308" s="172">
        <v>1</v>
      </c>
      <c r="AB308" s="155">
        <f t="shared" si="464"/>
        <v>0</v>
      </c>
      <c r="AC308" s="155">
        <f t="shared" si="464"/>
        <v>0</v>
      </c>
      <c r="AD308" s="155">
        <f t="shared" si="459"/>
        <v>0</v>
      </c>
      <c r="AE308" s="155">
        <f t="shared" si="458"/>
        <v>0</v>
      </c>
      <c r="AF308" s="155">
        <f t="shared" si="458"/>
        <v>0</v>
      </c>
      <c r="AG308" s="155">
        <f t="shared" si="458"/>
        <v>0</v>
      </c>
      <c r="AH308" s="155">
        <f t="shared" si="458"/>
        <v>0</v>
      </c>
      <c r="AI308" s="155">
        <f t="shared" si="458"/>
        <v>0</v>
      </c>
      <c r="AJ308" s="155">
        <f t="shared" si="458"/>
        <v>0</v>
      </c>
      <c r="AK308" s="155">
        <f t="shared" si="458"/>
        <v>0</v>
      </c>
      <c r="AL308" s="155">
        <f t="shared" si="458"/>
        <v>0</v>
      </c>
      <c r="AM308" s="155">
        <f t="shared" si="458"/>
        <v>0</v>
      </c>
      <c r="AN308" s="172">
        <v>1</v>
      </c>
      <c r="AO308" s="172"/>
    </row>
    <row r="309" spans="1:41" x14ac:dyDescent="0.15">
      <c r="A309" s="39" t="s">
        <v>1028</v>
      </c>
      <c r="B309" s="39" t="s">
        <v>1028</v>
      </c>
      <c r="E309" s="39">
        <f t="shared" si="442"/>
        <v>1</v>
      </c>
      <c r="G309" s="172"/>
      <c r="H309" s="155"/>
      <c r="J309" s="155">
        <f t="shared" si="444"/>
        <v>-149105.69099999999</v>
      </c>
      <c r="M309" s="155">
        <f t="shared" si="446"/>
        <v>-149105.69099999999</v>
      </c>
      <c r="N309" s="172">
        <v>1</v>
      </c>
      <c r="O309" s="155">
        <f t="shared" si="460"/>
        <v>0</v>
      </c>
      <c r="P309" s="155">
        <f t="shared" si="460"/>
        <v>0</v>
      </c>
      <c r="Q309" s="155">
        <f t="shared" si="448"/>
        <v>19880.758799999923</v>
      </c>
      <c r="R309" s="155">
        <f t="shared" si="461"/>
        <v>0</v>
      </c>
      <c r="S309" s="155">
        <f t="shared" si="461"/>
        <v>0</v>
      </c>
      <c r="T309" s="155">
        <f t="shared" si="456"/>
        <v>19880.758799999923</v>
      </c>
      <c r="U309" s="155">
        <f t="shared" si="462"/>
        <v>0</v>
      </c>
      <c r="V309" s="155">
        <f t="shared" si="462"/>
        <v>0</v>
      </c>
      <c r="W309" s="155">
        <f t="shared" si="451"/>
        <v>19880.758799999923</v>
      </c>
      <c r="X309" s="155">
        <f t="shared" si="463"/>
        <v>0</v>
      </c>
      <c r="Y309" s="155">
        <f t="shared" si="463"/>
        <v>0</v>
      </c>
      <c r="Z309" s="155">
        <f t="shared" si="453"/>
        <v>19880.758799999923</v>
      </c>
      <c r="AA309" s="172">
        <v>1</v>
      </c>
      <c r="AB309" s="155">
        <f t="shared" si="464"/>
        <v>0</v>
      </c>
      <c r="AC309" s="155">
        <f t="shared" si="464"/>
        <v>0</v>
      </c>
      <c r="AD309" s="155">
        <f t="shared" si="459"/>
        <v>29821.138200000052</v>
      </c>
      <c r="AE309" s="155">
        <f t="shared" si="458"/>
        <v>0</v>
      </c>
      <c r="AF309" s="155">
        <f t="shared" si="458"/>
        <v>0</v>
      </c>
      <c r="AG309" s="155">
        <f t="shared" si="458"/>
        <v>29821.138200000052</v>
      </c>
      <c r="AH309" s="155">
        <f t="shared" si="458"/>
        <v>0</v>
      </c>
      <c r="AI309" s="155">
        <f t="shared" si="458"/>
        <v>0</v>
      </c>
      <c r="AJ309" s="155">
        <f t="shared" si="458"/>
        <v>29821.138200000052</v>
      </c>
      <c r="AK309" s="155">
        <f t="shared" si="458"/>
        <v>0</v>
      </c>
      <c r="AL309" s="155">
        <f t="shared" si="458"/>
        <v>0</v>
      </c>
      <c r="AM309" s="155">
        <f t="shared" si="458"/>
        <v>29821.138200000052</v>
      </c>
      <c r="AN309" s="172">
        <v>1</v>
      </c>
      <c r="AO309" s="172"/>
    </row>
    <row r="310" spans="1:41" x14ac:dyDescent="0.15">
      <c r="A310" s="39" t="s">
        <v>310</v>
      </c>
      <c r="B310" s="39" t="s">
        <v>512</v>
      </c>
      <c r="E310" s="39">
        <f t="shared" si="442"/>
        <v>0</v>
      </c>
      <c r="G310" s="172"/>
      <c r="H310" s="155">
        <f t="shared" ref="H310:I319" si="465">(SUMIF($A$176:$A$215,$A310,H$176:H$215)*0.35+SUMIF($A$226:$A$264,$A310,H$226:H$264)*0.06*0.65)*$N310</f>
        <v>0</v>
      </c>
      <c r="I310" s="155">
        <f t="shared" si="465"/>
        <v>0</v>
      </c>
      <c r="J310" s="155">
        <f t="shared" si="444"/>
        <v>-610707.58710000012</v>
      </c>
      <c r="K310" s="155">
        <f t="shared" ref="K310:L320" si="466">(SUMIF($A$176:$A$215,$A310,K$176:K$215)*0.35+SUMIF($A$226:$A$264,$A310,K$226:K$264)*0.06*0.65)*$N310</f>
        <v>0</v>
      </c>
      <c r="L310" s="155">
        <f t="shared" si="466"/>
        <v>0</v>
      </c>
      <c r="M310" s="155">
        <f t="shared" si="446"/>
        <v>-610707.58710000012</v>
      </c>
      <c r="N310" s="172">
        <f>VLOOKUP($A310,'E&amp;G Splits'!$A$5:$I$45,N$281,FALSE)</f>
        <v>1</v>
      </c>
      <c r="O310" s="155">
        <f t="shared" ref="O310:P320" si="467">(SUMIF($A$176:$A$215,$A310,O$176:O$215)*0.35+SUMIF($A$226:$A$264,$A310,O$226:O$264)*0.06*0.65)*$AA310</f>
        <v>0</v>
      </c>
      <c r="P310" s="155">
        <f t="shared" si="467"/>
        <v>0</v>
      </c>
      <c r="Q310" s="155">
        <f t="shared" si="448"/>
        <v>-1215038.8199650003</v>
      </c>
      <c r="R310" s="155">
        <f t="shared" ref="R310:S320" si="468">(SUMIF($A$176:$A$215,$A310,R$176:R$215)*0.35+SUMIF($A$226:$A$264,$A310,R$226:R$264)*0.06*0.65)*$AA310</f>
        <v>0</v>
      </c>
      <c r="S310" s="155">
        <f t="shared" si="468"/>
        <v>0</v>
      </c>
      <c r="T310" s="155">
        <f t="shared" si="456"/>
        <v>-1215038.8199650003</v>
      </c>
      <c r="U310" s="155">
        <f t="shared" ref="U310:V320" si="469">(SUMIF($A$176:$A$215,$A310,U$176:U$215)*0.35+SUMIF($A$226:$A$264,$A310,U$226:U$264)*0.06*0.65)*$AA310</f>
        <v>0</v>
      </c>
      <c r="V310" s="155">
        <f t="shared" si="469"/>
        <v>0</v>
      </c>
      <c r="W310" s="155">
        <f t="shared" si="451"/>
        <v>-1215038.8199650003</v>
      </c>
      <c r="X310" s="155">
        <f t="shared" ref="X310:Y320" si="470">(SUMIF($A$176:$A$215,$A310,X$176:X$215)*0.35+SUMIF($A$226:$A$264,$A310,X$226:X$264)*0.06*0.65)*$AA310</f>
        <v>0</v>
      </c>
      <c r="Y310" s="155">
        <f t="shared" si="470"/>
        <v>0</v>
      </c>
      <c r="Z310" s="155">
        <f t="shared" si="453"/>
        <v>-1215038.8199650003</v>
      </c>
      <c r="AA310" s="172">
        <f>VLOOKUP($A310,'E&amp;G Splits'!$A$5:$I$45,AA$281,FALSE)</f>
        <v>1</v>
      </c>
      <c r="AB310" s="155">
        <f t="shared" ref="AB310:AC320" si="471">(SUMIF($A$176:$A$215,$A310,AB$176:AB$215)*0.35+SUMIF($A$226:$A$264,$A310,AB$226:AB$264)*0.06*0.65)*$AN310</f>
        <v>0</v>
      </c>
      <c r="AC310" s="155">
        <f t="shared" si="471"/>
        <v>0</v>
      </c>
      <c r="AD310" s="155">
        <f t="shared" si="459"/>
        <v>-1156796.1799324998</v>
      </c>
      <c r="AE310" s="155">
        <f t="shared" si="458"/>
        <v>0</v>
      </c>
      <c r="AF310" s="155">
        <f t="shared" si="458"/>
        <v>0</v>
      </c>
      <c r="AG310" s="155">
        <f t="shared" si="458"/>
        <v>-1156796.1799324998</v>
      </c>
      <c r="AH310" s="155">
        <f t="shared" si="458"/>
        <v>0</v>
      </c>
      <c r="AI310" s="155">
        <f t="shared" si="458"/>
        <v>0</v>
      </c>
      <c r="AJ310" s="155">
        <f t="shared" si="458"/>
        <v>-1156796.1799324998</v>
      </c>
      <c r="AK310" s="155">
        <f t="shared" si="458"/>
        <v>0</v>
      </c>
      <c r="AL310" s="155">
        <f t="shared" si="458"/>
        <v>0</v>
      </c>
      <c r="AM310" s="155">
        <f t="shared" si="458"/>
        <v>-1156796.1799324998</v>
      </c>
      <c r="AN310" s="172">
        <f>VLOOKUP($A310,'E&amp;G Splits'!$A$5:$I$45,AN$281,FALSE)</f>
        <v>1</v>
      </c>
      <c r="AO310" s="172"/>
    </row>
    <row r="311" spans="1:41" x14ac:dyDescent="0.15">
      <c r="A311" s="39" t="s">
        <v>311</v>
      </c>
      <c r="B311" s="39" t="s">
        <v>512</v>
      </c>
      <c r="E311" s="39">
        <f t="shared" si="442"/>
        <v>0</v>
      </c>
      <c r="G311" s="172"/>
      <c r="H311" s="155">
        <f t="shared" si="465"/>
        <v>0</v>
      </c>
      <c r="I311" s="155">
        <f t="shared" si="465"/>
        <v>0</v>
      </c>
      <c r="J311" s="155">
        <f t="shared" si="444"/>
        <v>35210.198477192454</v>
      </c>
      <c r="K311" s="155">
        <f t="shared" si="466"/>
        <v>0</v>
      </c>
      <c r="L311" s="155">
        <f t="shared" si="466"/>
        <v>0</v>
      </c>
      <c r="M311" s="155">
        <f t="shared" si="446"/>
        <v>35210.198477192454</v>
      </c>
      <c r="N311" s="172">
        <f>VLOOKUP($A311,'E&amp;G Splits'!$A$5:$I$45,N$281,FALSE)</f>
        <v>1</v>
      </c>
      <c r="O311" s="155">
        <f t="shared" si="467"/>
        <v>0</v>
      </c>
      <c r="P311" s="155">
        <f t="shared" si="467"/>
        <v>0</v>
      </c>
      <c r="Q311" s="155">
        <f t="shared" si="448"/>
        <v>78490.547830593641</v>
      </c>
      <c r="R311" s="155">
        <f t="shared" si="468"/>
        <v>0</v>
      </c>
      <c r="S311" s="155">
        <f t="shared" si="468"/>
        <v>0</v>
      </c>
      <c r="T311" s="155">
        <f t="shared" si="456"/>
        <v>78490.547830593641</v>
      </c>
      <c r="U311" s="155">
        <f t="shared" si="469"/>
        <v>0</v>
      </c>
      <c r="V311" s="155">
        <f t="shared" si="469"/>
        <v>0</v>
      </c>
      <c r="W311" s="155">
        <f t="shared" si="451"/>
        <v>78490.547830593641</v>
      </c>
      <c r="X311" s="155">
        <f t="shared" si="470"/>
        <v>0</v>
      </c>
      <c r="Y311" s="155">
        <f t="shared" si="470"/>
        <v>0</v>
      </c>
      <c r="Z311" s="155">
        <f t="shared" si="453"/>
        <v>78490.547830593641</v>
      </c>
      <c r="AA311" s="172">
        <f>VLOOKUP($A311,'E&amp;G Splits'!$A$5:$I$45,AA$281,FALSE)</f>
        <v>1</v>
      </c>
      <c r="AB311" s="155">
        <f t="shared" si="471"/>
        <v>0</v>
      </c>
      <c r="AC311" s="155">
        <f t="shared" si="471"/>
        <v>0</v>
      </c>
      <c r="AD311" s="155">
        <f t="shared" si="459"/>
        <v>133361.02520869134</v>
      </c>
      <c r="AE311" s="155">
        <f t="shared" si="458"/>
        <v>0</v>
      </c>
      <c r="AF311" s="155">
        <f t="shared" si="458"/>
        <v>0</v>
      </c>
      <c r="AG311" s="155">
        <f t="shared" si="458"/>
        <v>133361.02520869134</v>
      </c>
      <c r="AH311" s="155">
        <f t="shared" si="458"/>
        <v>0</v>
      </c>
      <c r="AI311" s="155">
        <f t="shared" si="458"/>
        <v>0</v>
      </c>
      <c r="AJ311" s="155">
        <f t="shared" si="458"/>
        <v>133361.02520869134</v>
      </c>
      <c r="AK311" s="155">
        <f t="shared" si="458"/>
        <v>0</v>
      </c>
      <c r="AL311" s="155">
        <f t="shared" si="458"/>
        <v>0</v>
      </c>
      <c r="AM311" s="155">
        <f t="shared" si="458"/>
        <v>133361.02520869134</v>
      </c>
      <c r="AN311" s="172">
        <f>VLOOKUP($A311,'E&amp;G Splits'!$A$5:$I$45,AN$281,FALSE)</f>
        <v>1</v>
      </c>
      <c r="AO311" s="172"/>
    </row>
    <row r="312" spans="1:41" x14ac:dyDescent="0.15">
      <c r="A312" s="39" t="s">
        <v>43</v>
      </c>
      <c r="B312" s="39" t="s">
        <v>43</v>
      </c>
      <c r="E312" s="39">
        <f t="shared" si="442"/>
        <v>2</v>
      </c>
      <c r="G312" s="172"/>
      <c r="H312" s="155">
        <f t="shared" si="465"/>
        <v>0</v>
      </c>
      <c r="I312" s="155">
        <f t="shared" si="465"/>
        <v>0</v>
      </c>
      <c r="J312" s="155">
        <f t="shared" si="444"/>
        <v>-15249774.596363999</v>
      </c>
      <c r="K312" s="155">
        <f t="shared" si="466"/>
        <v>0</v>
      </c>
      <c r="L312" s="155">
        <f t="shared" si="466"/>
        <v>0</v>
      </c>
      <c r="M312" s="155">
        <f t="shared" si="446"/>
        <v>-5083258.1987879993</v>
      </c>
      <c r="N312" s="172">
        <v>0.89759999999999995</v>
      </c>
      <c r="O312" s="155">
        <f t="shared" si="467"/>
        <v>0</v>
      </c>
      <c r="P312" s="155">
        <f t="shared" si="467"/>
        <v>0</v>
      </c>
      <c r="Q312" s="155">
        <f t="shared" si="448"/>
        <v>-6392073.7748927325</v>
      </c>
      <c r="R312" s="155">
        <f t="shared" si="468"/>
        <v>0</v>
      </c>
      <c r="S312" s="155">
        <f t="shared" si="468"/>
        <v>0</v>
      </c>
      <c r="T312" s="155">
        <f t="shared" si="456"/>
        <v>-6392073.7748927325</v>
      </c>
      <c r="U312" s="155">
        <f t="shared" si="469"/>
        <v>0</v>
      </c>
      <c r="V312" s="155">
        <f t="shared" si="469"/>
        <v>0</v>
      </c>
      <c r="W312" s="155">
        <f t="shared" si="451"/>
        <v>-6392073.7748927325</v>
      </c>
      <c r="X312" s="155">
        <f t="shared" si="470"/>
        <v>0</v>
      </c>
      <c r="Y312" s="155">
        <f t="shared" si="470"/>
        <v>0</v>
      </c>
      <c r="Z312" s="155">
        <f t="shared" si="453"/>
        <v>-6392073.7748927325</v>
      </c>
      <c r="AA312" s="172">
        <v>0.97609999999999997</v>
      </c>
      <c r="AB312" s="155">
        <f t="shared" si="471"/>
        <v>0</v>
      </c>
      <c r="AC312" s="155">
        <f t="shared" si="471"/>
        <v>0</v>
      </c>
      <c r="AD312" s="155">
        <f t="shared" si="459"/>
        <v>0</v>
      </c>
      <c r="AE312" s="155">
        <f t="shared" si="458"/>
        <v>0</v>
      </c>
      <c r="AF312" s="155">
        <f t="shared" si="458"/>
        <v>0</v>
      </c>
      <c r="AG312" s="155">
        <f t="shared" si="458"/>
        <v>0</v>
      </c>
      <c r="AH312" s="155">
        <f t="shared" si="458"/>
        <v>0</v>
      </c>
      <c r="AI312" s="155">
        <f t="shared" si="458"/>
        <v>0</v>
      </c>
      <c r="AJ312" s="155">
        <f t="shared" si="458"/>
        <v>0</v>
      </c>
      <c r="AK312" s="155">
        <f t="shared" si="458"/>
        <v>0</v>
      </c>
      <c r="AL312" s="155">
        <f t="shared" si="458"/>
        <v>0</v>
      </c>
      <c r="AM312" s="155">
        <f t="shared" si="458"/>
        <v>0</v>
      </c>
      <c r="AN312" s="172">
        <v>0.8</v>
      </c>
      <c r="AO312" s="172"/>
    </row>
    <row r="313" spans="1:41" x14ac:dyDescent="0.15">
      <c r="A313" s="39" t="s">
        <v>44</v>
      </c>
      <c r="B313" s="39" t="s">
        <v>44</v>
      </c>
      <c r="E313" s="39">
        <f t="shared" si="442"/>
        <v>2</v>
      </c>
      <c r="G313" s="172"/>
      <c r="H313" s="155">
        <f t="shared" si="465"/>
        <v>0</v>
      </c>
      <c r="I313" s="155">
        <f t="shared" si="465"/>
        <v>0</v>
      </c>
      <c r="J313" s="155">
        <f t="shared" si="444"/>
        <v>9963680.1444655992</v>
      </c>
      <c r="K313" s="155">
        <f t="shared" si="466"/>
        <v>0</v>
      </c>
      <c r="L313" s="155">
        <f t="shared" si="466"/>
        <v>0</v>
      </c>
      <c r="M313" s="155">
        <f t="shared" si="446"/>
        <v>9963680.1444655992</v>
      </c>
      <c r="N313" s="172">
        <f>VLOOKUP($A313,'E&amp;G Splits'!$A$5:$I$45,N$281,FALSE)</f>
        <v>0.80991373405420919</v>
      </c>
      <c r="O313" s="155">
        <f t="shared" si="467"/>
        <v>0</v>
      </c>
      <c r="P313" s="155">
        <f t="shared" si="467"/>
        <v>0</v>
      </c>
      <c r="Q313" s="155">
        <f t="shared" si="448"/>
        <v>12725438.728248343</v>
      </c>
      <c r="R313" s="155">
        <f t="shared" si="468"/>
        <v>0</v>
      </c>
      <c r="S313" s="155">
        <f t="shared" si="468"/>
        <v>0</v>
      </c>
      <c r="T313" s="155">
        <f t="shared" si="456"/>
        <v>12725438.728248343</v>
      </c>
      <c r="U313" s="155">
        <f t="shared" si="469"/>
        <v>0</v>
      </c>
      <c r="V313" s="155">
        <f t="shared" si="469"/>
        <v>0</v>
      </c>
      <c r="W313" s="155">
        <f t="shared" si="451"/>
        <v>12725438.728248343</v>
      </c>
      <c r="X313" s="155">
        <f t="shared" si="470"/>
        <v>0</v>
      </c>
      <c r="Y313" s="155">
        <f t="shared" si="470"/>
        <v>0</v>
      </c>
      <c r="Z313" s="155">
        <f t="shared" si="453"/>
        <v>12725438.728248343</v>
      </c>
      <c r="AA313" s="172">
        <f>VLOOKUP($A313,'E&amp;G Splits'!$A$5:$I$45,AA$281,FALSE)</f>
        <v>0.83823365249460446</v>
      </c>
      <c r="AB313" s="155">
        <f t="shared" si="471"/>
        <v>0</v>
      </c>
      <c r="AC313" s="155">
        <f t="shared" si="471"/>
        <v>0</v>
      </c>
      <c r="AD313" s="155">
        <f t="shared" si="459"/>
        <v>14206860.337736651</v>
      </c>
      <c r="AE313" s="155">
        <f t="shared" si="458"/>
        <v>0</v>
      </c>
      <c r="AF313" s="155">
        <f t="shared" si="458"/>
        <v>0</v>
      </c>
      <c r="AG313" s="155">
        <f t="shared" si="458"/>
        <v>14206860.337736651</v>
      </c>
      <c r="AH313" s="155">
        <f t="shared" si="458"/>
        <v>0</v>
      </c>
      <c r="AI313" s="155">
        <f t="shared" si="458"/>
        <v>0</v>
      </c>
      <c r="AJ313" s="155">
        <f t="shared" si="458"/>
        <v>14206860.337736651</v>
      </c>
      <c r="AK313" s="155">
        <f t="shared" si="458"/>
        <v>0</v>
      </c>
      <c r="AL313" s="155">
        <f t="shared" si="458"/>
        <v>0</v>
      </c>
      <c r="AM313" s="155">
        <f t="shared" si="458"/>
        <v>14206860.337736651</v>
      </c>
      <c r="AN313" s="172">
        <f>VLOOKUP($A313,'E&amp;G Splits'!$A$5:$I$45,AN$281,FALSE)</f>
        <v>0.84259373117354164</v>
      </c>
      <c r="AO313" s="172"/>
    </row>
    <row r="314" spans="1:41" x14ac:dyDescent="0.15">
      <c r="A314" s="39" t="s">
        <v>625</v>
      </c>
      <c r="B314" s="39" t="s">
        <v>625</v>
      </c>
      <c r="E314" s="39">
        <f t="shared" si="442"/>
        <v>2</v>
      </c>
      <c r="G314" s="172"/>
      <c r="H314" s="155">
        <f t="shared" si="465"/>
        <v>0</v>
      </c>
      <c r="I314" s="155">
        <f t="shared" si="465"/>
        <v>0</v>
      </c>
      <c r="J314" s="155">
        <f t="shared" si="444"/>
        <v>129746.12210624998</v>
      </c>
      <c r="K314" s="155">
        <f t="shared" si="466"/>
        <v>0</v>
      </c>
      <c r="L314" s="155">
        <f t="shared" si="466"/>
        <v>0</v>
      </c>
      <c r="M314" s="155">
        <f t="shared" si="446"/>
        <v>129746.12210624998</v>
      </c>
      <c r="N314" s="172">
        <f>VLOOKUP($A314,'E&amp;G Splits'!$A$5:$I$45,N$281,FALSE)</f>
        <v>1</v>
      </c>
      <c r="O314" s="155">
        <f t="shared" si="467"/>
        <v>0</v>
      </c>
      <c r="P314" s="155">
        <f t="shared" si="467"/>
        <v>0</v>
      </c>
      <c r="Q314" s="155">
        <f t="shared" si="448"/>
        <v>-74159.420801250002</v>
      </c>
      <c r="R314" s="155">
        <f t="shared" si="468"/>
        <v>0</v>
      </c>
      <c r="S314" s="155">
        <f t="shared" si="468"/>
        <v>0</v>
      </c>
      <c r="T314" s="155">
        <f t="shared" si="456"/>
        <v>-74159.420801250002</v>
      </c>
      <c r="U314" s="155">
        <f t="shared" si="469"/>
        <v>0</v>
      </c>
      <c r="V314" s="155">
        <f t="shared" si="469"/>
        <v>0</v>
      </c>
      <c r="W314" s="155">
        <f t="shared" si="451"/>
        <v>-74159.420801250002</v>
      </c>
      <c r="X314" s="155">
        <f t="shared" si="470"/>
        <v>0</v>
      </c>
      <c r="Y314" s="155">
        <f t="shared" si="470"/>
        <v>0</v>
      </c>
      <c r="Z314" s="155">
        <f t="shared" si="453"/>
        <v>-74159.420801250002</v>
      </c>
      <c r="AA314" s="172">
        <f>VLOOKUP($A314,'E&amp;G Splits'!$A$5:$I$45,AA$281,FALSE)</f>
        <v>1</v>
      </c>
      <c r="AB314" s="155">
        <f t="shared" si="471"/>
        <v>0</v>
      </c>
      <c r="AC314" s="155">
        <f t="shared" si="471"/>
        <v>0</v>
      </c>
      <c r="AD314" s="155">
        <f t="shared" si="459"/>
        <v>227428.91750125002</v>
      </c>
      <c r="AE314" s="155">
        <f t="shared" si="458"/>
        <v>0</v>
      </c>
      <c r="AF314" s="155">
        <f t="shared" si="458"/>
        <v>0</v>
      </c>
      <c r="AG314" s="155">
        <f t="shared" si="458"/>
        <v>227428.91750125002</v>
      </c>
      <c r="AH314" s="155">
        <f t="shared" si="458"/>
        <v>0</v>
      </c>
      <c r="AI314" s="155">
        <f t="shared" si="458"/>
        <v>0</v>
      </c>
      <c r="AJ314" s="155">
        <f t="shared" si="458"/>
        <v>227428.91750125002</v>
      </c>
      <c r="AK314" s="155">
        <f t="shared" si="458"/>
        <v>0</v>
      </c>
      <c r="AL314" s="155">
        <f t="shared" si="458"/>
        <v>0</v>
      </c>
      <c r="AM314" s="155">
        <f t="shared" si="458"/>
        <v>227428.91750125002</v>
      </c>
      <c r="AN314" s="172">
        <f>VLOOKUP($A314,'E&amp;G Splits'!$A$5:$I$45,AN$281,FALSE)</f>
        <v>1</v>
      </c>
      <c r="AO314" s="172"/>
    </row>
    <row r="315" spans="1:41" x14ac:dyDescent="0.15">
      <c r="A315" s="39" t="s">
        <v>47</v>
      </c>
      <c r="B315" s="39" t="s">
        <v>47</v>
      </c>
      <c r="E315" s="39">
        <f t="shared" si="442"/>
        <v>2</v>
      </c>
      <c r="G315" s="172"/>
      <c r="H315" s="155">
        <f t="shared" si="465"/>
        <v>0</v>
      </c>
      <c r="I315" s="155">
        <f t="shared" si="465"/>
        <v>0</v>
      </c>
      <c r="J315" s="155">
        <f t="shared" si="444"/>
        <v>606220.42993957561</v>
      </c>
      <c r="K315" s="155">
        <f t="shared" si="466"/>
        <v>0</v>
      </c>
      <c r="L315" s="155">
        <f t="shared" si="466"/>
        <v>0</v>
      </c>
      <c r="M315" s="155">
        <f t="shared" si="446"/>
        <v>606220.42993957561</v>
      </c>
      <c r="N315" s="172">
        <f>VLOOKUP($A315,'E&amp;G Splits'!$A$5:$I$45,N$281,FALSE)</f>
        <v>0.80991373405420919</v>
      </c>
      <c r="O315" s="155">
        <f t="shared" si="467"/>
        <v>0</v>
      </c>
      <c r="P315" s="155">
        <f t="shared" si="467"/>
        <v>0</v>
      </c>
      <c r="Q315" s="155">
        <f t="shared" si="448"/>
        <v>627417.88889221149</v>
      </c>
      <c r="R315" s="155">
        <f t="shared" si="468"/>
        <v>0</v>
      </c>
      <c r="S315" s="155">
        <f t="shared" si="468"/>
        <v>0</v>
      </c>
      <c r="T315" s="155">
        <f t="shared" si="456"/>
        <v>627417.88889221149</v>
      </c>
      <c r="U315" s="155">
        <f t="shared" si="469"/>
        <v>0</v>
      </c>
      <c r="V315" s="155">
        <f t="shared" si="469"/>
        <v>0</v>
      </c>
      <c r="W315" s="155">
        <f t="shared" si="451"/>
        <v>627417.88889221149</v>
      </c>
      <c r="X315" s="155">
        <f t="shared" si="470"/>
        <v>0</v>
      </c>
      <c r="Y315" s="155">
        <f t="shared" si="470"/>
        <v>0</v>
      </c>
      <c r="Z315" s="155">
        <f t="shared" si="453"/>
        <v>627417.88889221149</v>
      </c>
      <c r="AA315" s="172">
        <f>VLOOKUP($A315,'E&amp;G Splits'!$A$5:$I$45,AA$281,FALSE)</f>
        <v>0.83823365249460446</v>
      </c>
      <c r="AB315" s="155">
        <f t="shared" si="471"/>
        <v>0</v>
      </c>
      <c r="AC315" s="155">
        <f t="shared" si="471"/>
        <v>0</v>
      </c>
      <c r="AD315" s="155">
        <f t="shared" si="459"/>
        <v>630681.40778339596</v>
      </c>
      <c r="AE315" s="155">
        <f t="shared" si="458"/>
        <v>0</v>
      </c>
      <c r="AF315" s="155">
        <f t="shared" si="458"/>
        <v>0</v>
      </c>
      <c r="AG315" s="155">
        <f t="shared" si="458"/>
        <v>630681.40778339596</v>
      </c>
      <c r="AH315" s="155">
        <f t="shared" si="458"/>
        <v>0</v>
      </c>
      <c r="AI315" s="155">
        <f t="shared" si="458"/>
        <v>0</v>
      </c>
      <c r="AJ315" s="155">
        <f t="shared" si="458"/>
        <v>630681.40778339596</v>
      </c>
      <c r="AK315" s="155">
        <f t="shared" si="458"/>
        <v>0</v>
      </c>
      <c r="AL315" s="155">
        <f t="shared" si="458"/>
        <v>0</v>
      </c>
      <c r="AM315" s="155">
        <f t="shared" si="458"/>
        <v>630681.40778339596</v>
      </c>
      <c r="AN315" s="172">
        <f>VLOOKUP($A315,'E&amp;G Splits'!$A$5:$I$45,AN$281,FALSE)</f>
        <v>0.84259373117354164</v>
      </c>
      <c r="AO315" s="172"/>
    </row>
    <row r="316" spans="1:41" x14ac:dyDescent="0.15">
      <c r="A316" s="39" t="s">
        <v>51</v>
      </c>
      <c r="B316" s="39" t="s">
        <v>51</v>
      </c>
      <c r="E316" s="39">
        <f t="shared" si="442"/>
        <v>2</v>
      </c>
      <c r="G316" s="172"/>
      <c r="H316" s="155">
        <f t="shared" si="465"/>
        <v>0</v>
      </c>
      <c r="I316" s="155">
        <f t="shared" si="465"/>
        <v>0</v>
      </c>
      <c r="J316" s="155">
        <f t="shared" si="444"/>
        <v>-1761563.580525123</v>
      </c>
      <c r="K316" s="155">
        <f t="shared" si="466"/>
        <v>0</v>
      </c>
      <c r="L316" s="155">
        <f t="shared" si="466"/>
        <v>0</v>
      </c>
      <c r="M316" s="155">
        <f t="shared" si="446"/>
        <v>-1761563.580525123</v>
      </c>
      <c r="N316" s="172">
        <f>VLOOKUP($A316,'E&amp;G Splits'!$A$5:$I$45,N$281,FALSE)</f>
        <v>0.80991373405420919</v>
      </c>
      <c r="O316" s="155">
        <f t="shared" si="467"/>
        <v>0</v>
      </c>
      <c r="P316" s="155">
        <f t="shared" si="467"/>
        <v>0</v>
      </c>
      <c r="Q316" s="155">
        <f t="shared" si="448"/>
        <v>-1990511.3890657683</v>
      </c>
      <c r="R316" s="155">
        <f t="shared" si="468"/>
        <v>0</v>
      </c>
      <c r="S316" s="155">
        <f t="shared" si="468"/>
        <v>0</v>
      </c>
      <c r="T316" s="155">
        <f t="shared" si="456"/>
        <v>-1990511.3890657683</v>
      </c>
      <c r="U316" s="155">
        <f t="shared" si="469"/>
        <v>0</v>
      </c>
      <c r="V316" s="155">
        <f t="shared" si="469"/>
        <v>0</v>
      </c>
      <c r="W316" s="155">
        <f t="shared" si="451"/>
        <v>-1990511.3890657683</v>
      </c>
      <c r="X316" s="155">
        <f t="shared" si="470"/>
        <v>0</v>
      </c>
      <c r="Y316" s="155">
        <f t="shared" si="470"/>
        <v>0</v>
      </c>
      <c r="Z316" s="155">
        <f t="shared" si="453"/>
        <v>-1990511.3890657683</v>
      </c>
      <c r="AA316" s="172">
        <f>VLOOKUP($A316,'E&amp;G Splits'!$A$5:$I$45,AA$281,FALSE)</f>
        <v>0.83823365249460446</v>
      </c>
      <c r="AB316" s="155">
        <f t="shared" si="471"/>
        <v>0</v>
      </c>
      <c r="AC316" s="155">
        <f t="shared" si="471"/>
        <v>0</v>
      </c>
      <c r="AD316" s="155">
        <f t="shared" si="459"/>
        <v>-1332233.9690374238</v>
      </c>
      <c r="AE316" s="155">
        <f t="shared" si="458"/>
        <v>0</v>
      </c>
      <c r="AF316" s="155">
        <f t="shared" si="458"/>
        <v>0</v>
      </c>
      <c r="AG316" s="155">
        <f t="shared" si="458"/>
        <v>-1332233.9690374238</v>
      </c>
      <c r="AH316" s="155">
        <f t="shared" si="458"/>
        <v>0</v>
      </c>
      <c r="AI316" s="155">
        <f t="shared" si="458"/>
        <v>0</v>
      </c>
      <c r="AJ316" s="155">
        <f t="shared" si="458"/>
        <v>-1332233.9690374238</v>
      </c>
      <c r="AK316" s="155">
        <f t="shared" si="458"/>
        <v>0</v>
      </c>
      <c r="AL316" s="155">
        <f t="shared" si="458"/>
        <v>0</v>
      </c>
      <c r="AM316" s="155">
        <f t="shared" si="458"/>
        <v>-1332233.9690374238</v>
      </c>
      <c r="AN316" s="172">
        <f>VLOOKUP($A316,'E&amp;G Splits'!$A$5:$I$45,AN$281,FALSE)</f>
        <v>0.84259373117354164</v>
      </c>
      <c r="AO316" s="172"/>
    </row>
    <row r="317" spans="1:41" x14ac:dyDescent="0.15">
      <c r="A317" s="39" t="s">
        <v>66</v>
      </c>
      <c r="B317" s="39" t="s">
        <v>66</v>
      </c>
      <c r="E317" s="39">
        <f t="shared" si="442"/>
        <v>2</v>
      </c>
      <c r="G317" s="172"/>
      <c r="H317" s="155">
        <f t="shared" si="465"/>
        <v>0</v>
      </c>
      <c r="I317" s="155">
        <f t="shared" si="465"/>
        <v>0</v>
      </c>
      <c r="J317" s="155">
        <f t="shared" si="444"/>
        <v>533149.19258577377</v>
      </c>
      <c r="K317" s="155">
        <f t="shared" si="466"/>
        <v>0</v>
      </c>
      <c r="L317" s="155">
        <f t="shared" si="466"/>
        <v>0</v>
      </c>
      <c r="M317" s="155">
        <f t="shared" si="446"/>
        <v>533149.19258577377</v>
      </c>
      <c r="N317" s="172">
        <f>VLOOKUP($A317,'E&amp;G Splits'!$A$5:$I$45,N$281,FALSE)</f>
        <v>0.80991373405420919</v>
      </c>
      <c r="O317" s="155">
        <f t="shared" si="467"/>
        <v>0</v>
      </c>
      <c r="P317" s="155">
        <f t="shared" si="467"/>
        <v>0</v>
      </c>
      <c r="Q317" s="155">
        <f t="shared" si="448"/>
        <v>463931.9675065201</v>
      </c>
      <c r="R317" s="155">
        <f t="shared" si="468"/>
        <v>0</v>
      </c>
      <c r="S317" s="155">
        <f t="shared" si="468"/>
        <v>0</v>
      </c>
      <c r="T317" s="155">
        <f t="shared" si="456"/>
        <v>463931.9675065201</v>
      </c>
      <c r="U317" s="155">
        <f t="shared" si="469"/>
        <v>0</v>
      </c>
      <c r="V317" s="155">
        <f t="shared" si="469"/>
        <v>0</v>
      </c>
      <c r="W317" s="155">
        <f t="shared" si="451"/>
        <v>463931.9675065201</v>
      </c>
      <c r="X317" s="155">
        <f t="shared" si="470"/>
        <v>0</v>
      </c>
      <c r="Y317" s="155">
        <f t="shared" si="470"/>
        <v>0</v>
      </c>
      <c r="Z317" s="155">
        <f t="shared" si="453"/>
        <v>463931.9675065201</v>
      </c>
      <c r="AA317" s="172">
        <f>VLOOKUP($A317,'E&amp;G Splits'!$A$5:$I$45,AA$281,FALSE)</f>
        <v>0.83823365249460446</v>
      </c>
      <c r="AB317" s="155">
        <f t="shared" si="471"/>
        <v>0</v>
      </c>
      <c r="AC317" s="155">
        <f t="shared" si="471"/>
        <v>0</v>
      </c>
      <c r="AD317" s="155">
        <f t="shared" si="459"/>
        <v>338913.64162440121</v>
      </c>
      <c r="AE317" s="155">
        <f t="shared" si="458"/>
        <v>0</v>
      </c>
      <c r="AF317" s="155">
        <f t="shared" si="458"/>
        <v>0</v>
      </c>
      <c r="AG317" s="155">
        <f t="shared" si="458"/>
        <v>338913.64162440121</v>
      </c>
      <c r="AH317" s="155">
        <f t="shared" si="458"/>
        <v>0</v>
      </c>
      <c r="AI317" s="155">
        <f t="shared" si="458"/>
        <v>0</v>
      </c>
      <c r="AJ317" s="155">
        <f t="shared" si="458"/>
        <v>338913.64162440121</v>
      </c>
      <c r="AK317" s="155">
        <f t="shared" si="458"/>
        <v>0</v>
      </c>
      <c r="AL317" s="155">
        <f t="shared" si="458"/>
        <v>0</v>
      </c>
      <c r="AM317" s="155">
        <f t="shared" si="458"/>
        <v>338913.64162440121</v>
      </c>
      <c r="AN317" s="172">
        <f>VLOOKUP($A317,'E&amp;G Splits'!$A$5:$I$45,AN$281,FALSE)</f>
        <v>0.84259373117354164</v>
      </c>
      <c r="AO317" s="172"/>
    </row>
    <row r="318" spans="1:41" x14ac:dyDescent="0.15">
      <c r="A318" s="39" t="s">
        <v>78</v>
      </c>
      <c r="B318" s="39" t="s">
        <v>78</v>
      </c>
      <c r="E318" s="39">
        <f t="shared" si="442"/>
        <v>2</v>
      </c>
      <c r="G318" s="172"/>
      <c r="H318" s="155">
        <f t="shared" si="465"/>
        <v>0</v>
      </c>
      <c r="I318" s="155">
        <f t="shared" si="465"/>
        <v>0</v>
      </c>
      <c r="J318" s="155">
        <f>(SUMIF($A$176:$A$215,$A318,J$176:J$215)*0.21+SUMIF($A$226:$A$264,$A318,J$226:J$264)*0.05*0.79)*$G424</f>
        <v>-11944710.421635132</v>
      </c>
      <c r="K318" s="155">
        <f t="shared" si="466"/>
        <v>0</v>
      </c>
      <c r="L318" s="155">
        <f t="shared" si="466"/>
        <v>0</v>
      </c>
      <c r="M318" s="155">
        <f t="shared" si="446"/>
        <v>-9739678.0916648004</v>
      </c>
      <c r="N318" s="172">
        <v>0.80674227535746201</v>
      </c>
      <c r="O318" s="155">
        <f t="shared" si="467"/>
        <v>0</v>
      </c>
      <c r="P318" s="155">
        <f t="shared" si="467"/>
        <v>0</v>
      </c>
      <c r="Q318" s="155">
        <f t="shared" si="448"/>
        <v>-10709344.352376165</v>
      </c>
      <c r="R318" s="155">
        <f t="shared" si="468"/>
        <v>0</v>
      </c>
      <c r="S318" s="155">
        <f t="shared" si="468"/>
        <v>0</v>
      </c>
      <c r="T318" s="155">
        <f t="shared" si="456"/>
        <v>-10709344.352376165</v>
      </c>
      <c r="U318" s="155">
        <f t="shared" si="469"/>
        <v>0</v>
      </c>
      <c r="V318" s="155">
        <f t="shared" si="469"/>
        <v>0</v>
      </c>
      <c r="W318" s="155">
        <f t="shared" si="451"/>
        <v>-10709344.352376165</v>
      </c>
      <c r="X318" s="155">
        <f t="shared" si="470"/>
        <v>0</v>
      </c>
      <c r="Y318" s="155">
        <f t="shared" si="470"/>
        <v>0</v>
      </c>
      <c r="Z318" s="155">
        <f t="shared" si="453"/>
        <v>-10709344.352376165</v>
      </c>
      <c r="AA318" s="172">
        <v>0.7938318204935948</v>
      </c>
      <c r="AB318" s="155">
        <f t="shared" si="471"/>
        <v>0</v>
      </c>
      <c r="AC318" s="155">
        <f t="shared" si="471"/>
        <v>0</v>
      </c>
      <c r="AD318" s="155">
        <f t="shared" si="459"/>
        <v>-11004850.209279928</v>
      </c>
      <c r="AE318" s="155">
        <f t="shared" ref="AE318:AM320" si="472">(SUMIF($A$176:$A$215,$A318,AE$176:AE$215)*0.21+SUMIF($A$226:$A$264,$A318,AE$226:AE$264)*0.05*0.79)*$AN318</f>
        <v>0</v>
      </c>
      <c r="AF318" s="155">
        <f t="shared" si="472"/>
        <v>0</v>
      </c>
      <c r="AG318" s="155">
        <f t="shared" si="472"/>
        <v>-11004850.209279928</v>
      </c>
      <c r="AH318" s="155">
        <f t="shared" si="472"/>
        <v>0</v>
      </c>
      <c r="AI318" s="155">
        <f t="shared" si="472"/>
        <v>0</v>
      </c>
      <c r="AJ318" s="155">
        <f t="shared" si="472"/>
        <v>-11004850.209279928</v>
      </c>
      <c r="AK318" s="155">
        <f t="shared" si="472"/>
        <v>0</v>
      </c>
      <c r="AL318" s="155">
        <f t="shared" si="472"/>
        <v>0</v>
      </c>
      <c r="AM318" s="155">
        <f t="shared" si="472"/>
        <v>-11004850.209279928</v>
      </c>
      <c r="AN318" s="172">
        <v>0.78233549168939165</v>
      </c>
      <c r="AO318" s="172"/>
    </row>
    <row r="319" spans="1:41" x14ac:dyDescent="0.15">
      <c r="A319" s="39" t="s">
        <v>318</v>
      </c>
      <c r="B319" s="39" t="s">
        <v>269</v>
      </c>
      <c r="E319" s="39">
        <f t="shared" si="442"/>
        <v>0</v>
      </c>
      <c r="G319" s="172"/>
      <c r="H319" s="155">
        <f t="shared" si="465"/>
        <v>0</v>
      </c>
      <c r="I319" s="155">
        <f t="shared" si="465"/>
        <v>0</v>
      </c>
      <c r="J319" s="155">
        <f t="shared" si="444"/>
        <v>-3168666.0246456624</v>
      </c>
      <c r="K319" s="155">
        <f t="shared" si="466"/>
        <v>0</v>
      </c>
      <c r="L319" s="155">
        <f t="shared" si="466"/>
        <v>0</v>
      </c>
      <c r="M319" s="155">
        <f t="shared" si="446"/>
        <v>-5322872.6276625944</v>
      </c>
      <c r="N319" s="172">
        <f>VLOOKUP($A319,'E&amp;G Splits'!$A$5:$I$45,N$281,FALSE)</f>
        <v>0.86846780255018952</v>
      </c>
      <c r="O319" s="155">
        <f t="shared" si="467"/>
        <v>0</v>
      </c>
      <c r="P319" s="155">
        <f t="shared" si="467"/>
        <v>0</v>
      </c>
      <c r="Q319" s="155">
        <f t="shared" si="448"/>
        <v>-1505908.2202888718</v>
      </c>
      <c r="R319" s="155">
        <f t="shared" si="468"/>
        <v>0</v>
      </c>
      <c r="S319" s="155">
        <f t="shared" si="468"/>
        <v>0</v>
      </c>
      <c r="T319" s="155">
        <f t="shared" si="456"/>
        <v>-1505908.2202638458</v>
      </c>
      <c r="U319" s="155">
        <f t="shared" si="469"/>
        <v>0</v>
      </c>
      <c r="V319" s="155">
        <f t="shared" si="469"/>
        <v>0</v>
      </c>
      <c r="W319" s="155">
        <f t="shared" si="451"/>
        <v>-1505908.2201910128</v>
      </c>
      <c r="X319" s="155">
        <f t="shared" si="470"/>
        <v>0</v>
      </c>
      <c r="Y319" s="155">
        <f t="shared" si="470"/>
        <v>0</v>
      </c>
      <c r="Z319" s="155">
        <f t="shared" si="453"/>
        <v>-1505908.2201115927</v>
      </c>
      <c r="AA319" s="172">
        <f>VLOOKUP($A319,'E&amp;G Splits'!$A$5:$I$45,AA$281,FALSE)</f>
        <v>0.86846780255018952</v>
      </c>
      <c r="AB319" s="155">
        <f t="shared" si="471"/>
        <v>0</v>
      </c>
      <c r="AC319" s="155">
        <f t="shared" si="471"/>
        <v>0</v>
      </c>
      <c r="AD319" s="155">
        <f t="shared" si="459"/>
        <v>-209518.94729232544</v>
      </c>
      <c r="AE319" s="155">
        <f t="shared" si="472"/>
        <v>0</v>
      </c>
      <c r="AF319" s="155">
        <f t="shared" si="472"/>
        <v>0</v>
      </c>
      <c r="AG319" s="155">
        <f t="shared" si="472"/>
        <v>-209518.94729232544</v>
      </c>
      <c r="AH319" s="155">
        <f t="shared" si="472"/>
        <v>0</v>
      </c>
      <c r="AI319" s="155">
        <f t="shared" si="472"/>
        <v>0</v>
      </c>
      <c r="AJ319" s="155">
        <f t="shared" si="472"/>
        <v>-209518.94729232544</v>
      </c>
      <c r="AK319" s="155">
        <f t="shared" si="472"/>
        <v>0</v>
      </c>
      <c r="AL319" s="155">
        <f t="shared" si="472"/>
        <v>0</v>
      </c>
      <c r="AM319" s="155">
        <f t="shared" si="472"/>
        <v>-209518.94729232544</v>
      </c>
      <c r="AN319" s="172">
        <f>VLOOKUP($A319,'E&amp;G Splits'!$A$5:$I$45,AN$281,FALSE)</f>
        <v>0.86846780255018952</v>
      </c>
      <c r="AO319" s="172"/>
    </row>
    <row r="320" spans="1:41" x14ac:dyDescent="0.15">
      <c r="A320" s="39" t="s">
        <v>79</v>
      </c>
      <c r="B320" s="39" t="s">
        <v>79</v>
      </c>
      <c r="E320" s="39">
        <f t="shared" si="442"/>
        <v>2</v>
      </c>
      <c r="G320" s="172"/>
      <c r="H320" s="155"/>
      <c r="J320" s="155">
        <f t="shared" si="444"/>
        <v>-2971648.2990604588</v>
      </c>
      <c r="K320" s="155">
        <f t="shared" si="466"/>
        <v>0</v>
      </c>
      <c r="L320" s="155">
        <f t="shared" si="466"/>
        <v>0</v>
      </c>
      <c r="M320" s="155">
        <f t="shared" si="446"/>
        <v>-2971648.2990604588</v>
      </c>
      <c r="N320" s="172">
        <v>0.82035907294860588</v>
      </c>
      <c r="O320" s="155">
        <f t="shared" si="467"/>
        <v>0</v>
      </c>
      <c r="P320" s="155">
        <f t="shared" si="467"/>
        <v>0</v>
      </c>
      <c r="Q320" s="155">
        <f t="shared" si="448"/>
        <v>-3174220.3730598292</v>
      </c>
      <c r="R320" s="155">
        <f t="shared" si="468"/>
        <v>0</v>
      </c>
      <c r="S320" s="155">
        <f t="shared" si="468"/>
        <v>0</v>
      </c>
      <c r="T320" s="155">
        <f t="shared" si="456"/>
        <v>-3174220.3730598292</v>
      </c>
      <c r="U320" s="155">
        <f t="shared" si="469"/>
        <v>0</v>
      </c>
      <c r="V320" s="155">
        <f t="shared" si="469"/>
        <v>0</v>
      </c>
      <c r="W320" s="155">
        <f t="shared" si="451"/>
        <v>-3174220.3730598292</v>
      </c>
      <c r="X320" s="155">
        <f t="shared" si="470"/>
        <v>0</v>
      </c>
      <c r="Y320" s="155">
        <f t="shared" si="470"/>
        <v>0</v>
      </c>
      <c r="Z320" s="155">
        <f t="shared" si="453"/>
        <v>-3174220.3730598292</v>
      </c>
      <c r="AA320" s="172">
        <v>0.81666562049606684</v>
      </c>
      <c r="AB320" s="155">
        <f t="shared" si="471"/>
        <v>0</v>
      </c>
      <c r="AC320" s="155">
        <f t="shared" si="471"/>
        <v>0</v>
      </c>
      <c r="AD320" s="155">
        <f t="shared" si="459"/>
        <v>-3097376.8513391917</v>
      </c>
      <c r="AE320" s="155">
        <f t="shared" si="472"/>
        <v>0</v>
      </c>
      <c r="AF320" s="155">
        <f t="shared" si="472"/>
        <v>0</v>
      </c>
      <c r="AG320" s="155">
        <f t="shared" si="472"/>
        <v>-3097376.8513391917</v>
      </c>
      <c r="AH320" s="155">
        <f t="shared" si="472"/>
        <v>0</v>
      </c>
      <c r="AI320" s="155">
        <f t="shared" si="472"/>
        <v>0</v>
      </c>
      <c r="AJ320" s="155">
        <f t="shared" si="472"/>
        <v>-3097376.8513391917</v>
      </c>
      <c r="AK320" s="155">
        <f t="shared" si="472"/>
        <v>0</v>
      </c>
      <c r="AL320" s="155">
        <f t="shared" si="472"/>
        <v>0</v>
      </c>
      <c r="AM320" s="155">
        <f t="shared" si="472"/>
        <v>-3097376.8513391917</v>
      </c>
      <c r="AN320" s="172">
        <v>0.80524402405921069</v>
      </c>
      <c r="AO320" s="172"/>
    </row>
    <row r="321" spans="1:41" x14ac:dyDescent="0.15">
      <c r="A321" s="39" t="s">
        <v>267</v>
      </c>
      <c r="B321" s="39" t="s">
        <v>267</v>
      </c>
      <c r="E321" s="39">
        <f t="shared" si="442"/>
        <v>1</v>
      </c>
      <c r="G321" s="172"/>
      <c r="H321" s="155"/>
      <c r="J321" s="155">
        <f>J220</f>
        <v>589762.56626714009</v>
      </c>
      <c r="M321" s="155">
        <f>M220</f>
        <v>-560119.398511698</v>
      </c>
      <c r="N321" s="172">
        <v>1</v>
      </c>
      <c r="O321" s="155">
        <f>+O$221*$AA321</f>
        <v>0</v>
      </c>
      <c r="P321" s="155">
        <f t="shared" ref="P321:Z322" si="473">+P$221*$AA321</f>
        <v>0</v>
      </c>
      <c r="Q321" s="155">
        <f>Q220</f>
        <v>948986.19618434098</v>
      </c>
      <c r="R321" s="155">
        <f t="shared" si="473"/>
        <v>0</v>
      </c>
      <c r="S321" s="155">
        <f t="shared" si="473"/>
        <v>0</v>
      </c>
      <c r="T321" s="155">
        <f>T220</f>
        <v>-838621.69190749701</v>
      </c>
      <c r="W321" s="155">
        <f>W220</f>
        <v>240051.282295276</v>
      </c>
      <c r="Z321" s="155">
        <f>Z220</f>
        <v>-350415.78657211998</v>
      </c>
      <c r="AA321" s="172">
        <v>1</v>
      </c>
      <c r="AD321" s="155">
        <f>AD220</f>
        <v>1260556.32320439</v>
      </c>
      <c r="AE321" s="155">
        <f>AE220</f>
        <v>-311570.12710095197</v>
      </c>
      <c r="AF321" s="155">
        <f>AF220</f>
        <v>311570.12710095197</v>
      </c>
      <c r="AG321" s="155">
        <f>AG220</f>
        <v>-996989.73706042301</v>
      </c>
      <c r="AJ321" s="155">
        <f>AJ220</f>
        <v>440111.135994073</v>
      </c>
      <c r="AM321" s="155">
        <f>AM220</f>
        <v>-703677.72213805409</v>
      </c>
      <c r="AN321" s="172">
        <v>1</v>
      </c>
      <c r="AO321" s="172"/>
    </row>
    <row r="322" spans="1:41" x14ac:dyDescent="0.15">
      <c r="A322" s="39" t="s">
        <v>496</v>
      </c>
      <c r="B322" s="39" t="s">
        <v>268</v>
      </c>
      <c r="E322" s="39">
        <f t="shared" si="442"/>
        <v>0</v>
      </c>
      <c r="G322" s="172"/>
      <c r="H322" s="155"/>
      <c r="J322" s="155">
        <f>+J$221*$N322</f>
        <v>205000</v>
      </c>
      <c r="K322" s="155">
        <f>+K$221*$N322</f>
        <v>0</v>
      </c>
      <c r="L322" s="155">
        <f>+L$221*$N322</f>
        <v>0</v>
      </c>
      <c r="M322" s="155">
        <f>+M$221*$N322</f>
        <v>205000</v>
      </c>
      <c r="N322" s="172">
        <f>VLOOKUP($A322,'E&amp;G Splits'!$A$5:$I$45,N$281,FALSE)</f>
        <v>1</v>
      </c>
      <c r="O322" s="155">
        <f>+O$221*$AA322</f>
        <v>0</v>
      </c>
      <c r="P322" s="155">
        <f t="shared" si="473"/>
        <v>0</v>
      </c>
      <c r="Q322" s="155">
        <f t="shared" si="473"/>
        <v>205000</v>
      </c>
      <c r="R322" s="155">
        <f t="shared" si="473"/>
        <v>0</v>
      </c>
      <c r="S322" s="155">
        <f t="shared" si="473"/>
        <v>0</v>
      </c>
      <c r="T322" s="155">
        <f t="shared" si="473"/>
        <v>205000</v>
      </c>
      <c r="U322" s="155">
        <f t="shared" si="473"/>
        <v>0</v>
      </c>
      <c r="V322" s="155">
        <f t="shared" si="473"/>
        <v>0</v>
      </c>
      <c r="W322" s="155">
        <f t="shared" si="473"/>
        <v>205000</v>
      </c>
      <c r="X322" s="155">
        <f t="shared" si="473"/>
        <v>0</v>
      </c>
      <c r="Y322" s="155">
        <f t="shared" si="473"/>
        <v>0</v>
      </c>
      <c r="Z322" s="155">
        <f t="shared" si="473"/>
        <v>205000</v>
      </c>
      <c r="AA322" s="172">
        <f>VLOOKUP($A322,'E&amp;G Splits'!$A$5:$I$45,AA$281,FALSE)</f>
        <v>1</v>
      </c>
      <c r="AB322" s="155">
        <f>+AB$221*$AN322</f>
        <v>0</v>
      </c>
      <c r="AC322" s="155">
        <f t="shared" ref="AC322:AM322" si="474">+AC$221*$AN322</f>
        <v>0</v>
      </c>
      <c r="AD322" s="155">
        <f t="shared" si="474"/>
        <v>-1670351.5</v>
      </c>
      <c r="AE322" s="155">
        <f t="shared" si="474"/>
        <v>0</v>
      </c>
      <c r="AF322" s="155">
        <f t="shared" si="474"/>
        <v>0</v>
      </c>
      <c r="AG322" s="155">
        <f t="shared" si="474"/>
        <v>-1670351.5</v>
      </c>
      <c r="AH322" s="155">
        <f t="shared" si="474"/>
        <v>0</v>
      </c>
      <c r="AI322" s="155">
        <f t="shared" si="474"/>
        <v>0</v>
      </c>
      <c r="AJ322" s="155">
        <f t="shared" si="474"/>
        <v>-1670351.5</v>
      </c>
      <c r="AK322" s="155">
        <f t="shared" si="474"/>
        <v>0</v>
      </c>
      <c r="AL322" s="155">
        <f t="shared" si="474"/>
        <v>0</v>
      </c>
      <c r="AM322" s="155">
        <f t="shared" si="474"/>
        <v>-1670351.5</v>
      </c>
      <c r="AN322" s="172">
        <f>VLOOKUP($A322,'E&amp;G Splits'!$A$5:$I$45,AN$281,FALSE)</f>
        <v>1</v>
      </c>
      <c r="AO322" s="172"/>
    </row>
    <row r="323" spans="1:41" x14ac:dyDescent="0.15">
      <c r="A323" s="39" t="s">
        <v>100</v>
      </c>
      <c r="B323" s="39" t="s">
        <v>55</v>
      </c>
      <c r="E323" s="39">
        <f t="shared" si="442"/>
        <v>0</v>
      </c>
      <c r="G323" s="172"/>
      <c r="H323" s="155"/>
      <c r="J323" s="155">
        <f>+J$222*$N323-J324*0.21</f>
        <v>1107573.1829484545</v>
      </c>
      <c r="K323" s="155">
        <f>+K$222*$N323-K324*0.35</f>
        <v>0</v>
      </c>
      <c r="L323" s="155">
        <f>+L$222*$N323-L324*0.35</f>
        <v>0</v>
      </c>
      <c r="M323" s="155">
        <f>+M$222*$N323-M324*0.21</f>
        <v>1502484.4997100357</v>
      </c>
      <c r="N323" s="172">
        <f>VLOOKUP($A323,'E&amp;G Splits'!$A$5:$I$45,N$281,FALSE)</f>
        <v>0.80798296114063606</v>
      </c>
      <c r="O323" s="155">
        <f>+O$222*$AA323-O324*0.35</f>
        <v>0</v>
      </c>
      <c r="P323" s="155">
        <f t="shared" ref="P323:Y323" si="475">+P$222*$AA323-P324*0.35</f>
        <v>0</v>
      </c>
      <c r="Q323" s="155">
        <f>+Q$222*$AA323-Q324*0.21</f>
        <v>1995667.3247060217</v>
      </c>
      <c r="R323" s="155">
        <f>+R$222*$AA323-R324*0.21</f>
        <v>677923.4941804976</v>
      </c>
      <c r="S323" s="155">
        <f t="shared" si="475"/>
        <v>0</v>
      </c>
      <c r="T323" s="155">
        <f>+T$222*$AA323-T324*0.21</f>
        <v>1329053.6777721772</v>
      </c>
      <c r="U323" s="155">
        <f t="shared" si="475"/>
        <v>0</v>
      </c>
      <c r="V323" s="155">
        <f t="shared" si="475"/>
        <v>0</v>
      </c>
      <c r="W323" s="155">
        <f>+W$222*$AA323-W324*0.21</f>
        <v>2012632.498262295</v>
      </c>
      <c r="X323" s="155">
        <f t="shared" si="475"/>
        <v>0</v>
      </c>
      <c r="Y323" s="155">
        <f t="shared" si="475"/>
        <v>0</v>
      </c>
      <c r="Z323" s="155">
        <f>+Z$222*$AA323-Z324*0.21</f>
        <v>2012632.498262295</v>
      </c>
      <c r="AA323" s="172">
        <f>VLOOKUP($A323,'E&amp;G Splits'!$A$5:$I$45,AA$281,FALSE)</f>
        <v>0.80537258752780572</v>
      </c>
      <c r="AB323" s="155">
        <f>+AB$222*$AN323-AB324*0.35</f>
        <v>0</v>
      </c>
      <c r="AC323" s="155">
        <f t="shared" ref="AC323:AL323" si="476">+AC$222*$AN323-AC324*0.35</f>
        <v>0</v>
      </c>
      <c r="AD323" s="155">
        <f>+AD$222*$AN323-AD324*0.21</f>
        <v>2165862.7237987528</v>
      </c>
      <c r="AE323" s="155">
        <f>+AE$222*$AN323-AE324*0.21</f>
        <v>726918.37389733305</v>
      </c>
      <c r="AF323" s="155">
        <f t="shared" si="476"/>
        <v>0</v>
      </c>
      <c r="AG323" s="155">
        <f>+AG$222*$AN323-AG324*0.21</f>
        <v>1438944.3499014194</v>
      </c>
      <c r="AH323" s="155">
        <f t="shared" si="476"/>
        <v>0</v>
      </c>
      <c r="AI323" s="155">
        <f t="shared" si="476"/>
        <v>0</v>
      </c>
      <c r="AJ323" s="155">
        <f>+AJ$222*$AN323-AJ324*0.21</f>
        <v>2165862.7237987528</v>
      </c>
      <c r="AK323" s="155">
        <f t="shared" si="476"/>
        <v>0</v>
      </c>
      <c r="AL323" s="155">
        <f t="shared" si="476"/>
        <v>0</v>
      </c>
      <c r="AM323" s="155">
        <f>+AM$222*$AN323-AM324*0.21</f>
        <v>2165862.7237987528</v>
      </c>
      <c r="AN323" s="172">
        <f>VLOOKUP($A323,'E&amp;G Splits'!$A$5:$I$45,AN$281,FALSE)</f>
        <v>0.80493100453466471</v>
      </c>
      <c r="AO323" s="172"/>
    </row>
    <row r="324" spans="1:41" x14ac:dyDescent="0.15">
      <c r="A324" s="39" t="s">
        <v>102</v>
      </c>
      <c r="B324" s="39" t="s">
        <v>56</v>
      </c>
      <c r="E324" s="39">
        <f t="shared" si="442"/>
        <v>0</v>
      </c>
      <c r="G324" s="172"/>
      <c r="H324" s="155"/>
      <c r="J324" s="155">
        <f>+J$267*$N324</f>
        <v>204489.77517034489</v>
      </c>
      <c r="K324" s="155">
        <f>+K$267*$N324</f>
        <v>0</v>
      </c>
      <c r="L324" s="155">
        <f>+L$267*$N324</f>
        <v>0</v>
      </c>
      <c r="M324" s="155">
        <f>+M$267*$N324</f>
        <v>181111.19652796449</v>
      </c>
      <c r="N324" s="172">
        <f>VLOOKUP($A324,'E&amp;G Splits'!$A$5:$I$45,N$281,FALSE)</f>
        <v>0.80798296114063606</v>
      </c>
      <c r="O324" s="155">
        <f>+O$267*$AA324</f>
        <v>0</v>
      </c>
      <c r="P324" s="155">
        <f t="shared" ref="P324:Z324" si="477">+P$267*$AA324</f>
        <v>0</v>
      </c>
      <c r="Q324" s="155">
        <f t="shared" si="477"/>
        <v>234893.53348012784</v>
      </c>
      <c r="R324" s="155">
        <f t="shared" si="477"/>
        <v>0</v>
      </c>
      <c r="S324" s="155">
        <f t="shared" si="477"/>
        <v>0</v>
      </c>
      <c r="T324" s="155">
        <f t="shared" si="477"/>
        <v>234893.53348012784</v>
      </c>
      <c r="U324" s="155">
        <f t="shared" si="477"/>
        <v>0</v>
      </c>
      <c r="V324" s="155">
        <f t="shared" si="477"/>
        <v>0</v>
      </c>
      <c r="W324" s="155">
        <f t="shared" si="477"/>
        <v>234893.53348012784</v>
      </c>
      <c r="X324" s="155">
        <f t="shared" si="477"/>
        <v>0</v>
      </c>
      <c r="Y324" s="155">
        <f t="shared" si="477"/>
        <v>0</v>
      </c>
      <c r="Z324" s="155">
        <f t="shared" si="477"/>
        <v>234893.53348012784</v>
      </c>
      <c r="AA324" s="172">
        <f>VLOOKUP($A324,'E&amp;G Splits'!$A$5:$I$45,AA$281,FALSE)</f>
        <v>0.80537258752780572</v>
      </c>
      <c r="AB324" s="155">
        <f>+AB$267*$AN324</f>
        <v>0</v>
      </c>
      <c r="AC324" s="155">
        <f t="shared" ref="AC324:AM324" si="478">+AC$267*$AN324</f>
        <v>0</v>
      </c>
      <c r="AD324" s="155">
        <f t="shared" si="478"/>
        <v>221949.23416069988</v>
      </c>
      <c r="AE324" s="155">
        <f t="shared" si="478"/>
        <v>0</v>
      </c>
      <c r="AF324" s="155">
        <f t="shared" si="478"/>
        <v>0</v>
      </c>
      <c r="AG324" s="155">
        <f t="shared" si="478"/>
        <v>221949.23416069988</v>
      </c>
      <c r="AH324" s="155">
        <f t="shared" si="478"/>
        <v>0</v>
      </c>
      <c r="AI324" s="155">
        <f t="shared" si="478"/>
        <v>0</v>
      </c>
      <c r="AJ324" s="155">
        <f t="shared" si="478"/>
        <v>221949.23416069988</v>
      </c>
      <c r="AK324" s="155">
        <f t="shared" si="478"/>
        <v>0</v>
      </c>
      <c r="AL324" s="155">
        <f t="shared" si="478"/>
        <v>0</v>
      </c>
      <c r="AM324" s="155">
        <f t="shared" si="478"/>
        <v>221949.23416069988</v>
      </c>
      <c r="AN324" s="172">
        <f>VLOOKUP($A324,'E&amp;G Splits'!$A$5:$I$45,AN$281,FALSE)</f>
        <v>0.80493100453466471</v>
      </c>
      <c r="AO324" s="172"/>
    </row>
    <row r="325" spans="1:41" x14ac:dyDescent="0.15">
      <c r="A325" s="39" t="s">
        <v>101</v>
      </c>
      <c r="B325" s="39" t="s">
        <v>81</v>
      </c>
      <c r="E325" s="39">
        <f t="shared" si="442"/>
        <v>0</v>
      </c>
      <c r="G325" s="172"/>
      <c r="H325" s="155">
        <f t="shared" ref="H325:M325" si="479">+(H$223+H$268*0.79)*$N325</f>
        <v>-11185.59913482997</v>
      </c>
      <c r="I325" s="155">
        <f t="shared" si="479"/>
        <v>-11185.59913482997</v>
      </c>
      <c r="J325" s="155">
        <f t="shared" si="479"/>
        <v>-14036.5607823299</v>
      </c>
      <c r="K325" s="155">
        <f t="shared" si="479"/>
        <v>-11185.59913482997</v>
      </c>
      <c r="L325" s="155">
        <f t="shared" si="479"/>
        <v>-11185.59913482997</v>
      </c>
      <c r="M325" s="155">
        <f t="shared" si="479"/>
        <v>-14036.5607823299</v>
      </c>
      <c r="N325" s="172">
        <f>VLOOKUP($A325,'E&amp;G Splits'!$A$5:$I$45,N$281,FALSE)</f>
        <v>1</v>
      </c>
      <c r="O325" s="155">
        <f>+(O$223+O$268*0.65)*$AA325</f>
        <v>-11185.59913482997</v>
      </c>
      <c r="P325" s="155">
        <f>+(P$223+P$268*0.65)*$AA325</f>
        <v>-11185.59913482997</v>
      </c>
      <c r="Q325" s="155">
        <f t="shared" ref="Q325:W325" si="480">+(Q$223+Q$268*0.79)*$AA325</f>
        <v>-14036.5607823299</v>
      </c>
      <c r="R325" s="155">
        <f t="shared" si="480"/>
        <v>-11185.59913482997</v>
      </c>
      <c r="S325" s="155">
        <f t="shared" si="480"/>
        <v>-11185.59913482997</v>
      </c>
      <c r="T325" s="155">
        <f t="shared" si="480"/>
        <v>-14036.5607823299</v>
      </c>
      <c r="U325" s="155">
        <f t="shared" si="480"/>
        <v>-11185.59913482997</v>
      </c>
      <c r="V325" s="155">
        <f t="shared" si="480"/>
        <v>-11185.59913482997</v>
      </c>
      <c r="W325" s="155">
        <f t="shared" si="480"/>
        <v>-14036.5607823299</v>
      </c>
      <c r="X325" s="155">
        <f>+(X$223+X$268*0.65)*$AA325</f>
        <v>-11185.59913482997</v>
      </c>
      <c r="Y325" s="155">
        <f>+(Y$223+Y$268*0.65)*$AA325</f>
        <v>-11185.59913482997</v>
      </c>
      <c r="Z325" s="155">
        <f>+(Z$223+Z$268*0.79)*$AA325</f>
        <v>-14036.5607823299</v>
      </c>
      <c r="AA325" s="172">
        <f>VLOOKUP($A325,'E&amp;G Splits'!$A$5:$I$45,AA$281,FALSE)</f>
        <v>1</v>
      </c>
      <c r="AB325" s="155">
        <f>+(AB$223+AB$268*0.65)*$AN325</f>
        <v>-11185.59913482997</v>
      </c>
      <c r="AC325" s="155">
        <f>+(AC$223+AC$268*0.65)*$AN325</f>
        <v>-11185.59913482997</v>
      </c>
      <c r="AD325" s="155">
        <f t="shared" ref="AD325:AM325" si="481">+(AD$223+AD$268*0.79)*$AN325</f>
        <v>-14036.5607823299</v>
      </c>
      <c r="AE325" s="155">
        <f t="shared" si="481"/>
        <v>-11185.59913482997</v>
      </c>
      <c r="AF325" s="155">
        <f t="shared" si="481"/>
        <v>-11185.59913482997</v>
      </c>
      <c r="AG325" s="155">
        <f t="shared" si="481"/>
        <v>-14036.5607823299</v>
      </c>
      <c r="AH325" s="155">
        <f t="shared" si="481"/>
        <v>-11185.59913482997</v>
      </c>
      <c r="AI325" s="155">
        <f t="shared" si="481"/>
        <v>-11185.59913482997</v>
      </c>
      <c r="AJ325" s="155">
        <f t="shared" si="481"/>
        <v>-14036.5607823299</v>
      </c>
      <c r="AK325" s="155">
        <f t="shared" si="481"/>
        <v>-11185.59913482997</v>
      </c>
      <c r="AL325" s="155">
        <f t="shared" si="481"/>
        <v>-11185.59913482997</v>
      </c>
      <c r="AM325" s="155">
        <f t="shared" si="481"/>
        <v>-14036.5607823299</v>
      </c>
      <c r="AN325" s="172">
        <f>VLOOKUP($A325,'E&amp;G Splits'!$A$5:$I$45,AN$281,FALSE)</f>
        <v>1</v>
      </c>
      <c r="AO325" s="172"/>
    </row>
    <row r="326" spans="1:41" x14ac:dyDescent="0.15">
      <c r="A326" s="39" t="s">
        <v>97</v>
      </c>
      <c r="B326" s="39"/>
      <c r="E326" s="39">
        <f t="shared" si="442"/>
        <v>0</v>
      </c>
      <c r="G326" s="41"/>
      <c r="H326" s="155"/>
      <c r="J326" s="155">
        <f>-'Reg Asset and Liab 2018-2020'!K31*N326</f>
        <v>-91629.389677292798</v>
      </c>
      <c r="M326" s="155">
        <f>-'Reg Asset and Liab 2018-2020'!N31*N326</f>
        <v>-91629.389677292798</v>
      </c>
      <c r="N326" s="172">
        <f>VLOOKUP($A326,'E&amp;G Splits'!$A$5:$I$45,N$281,FALSE)</f>
        <v>0.97763610812168622</v>
      </c>
      <c r="Q326" s="155">
        <f>-'Reg Asset and Liab 2018-2020'!$Q$31*AA326</f>
        <v>-85238.133847845762</v>
      </c>
      <c r="T326" s="155">
        <f>-'Reg Asset and Liab 2018-2020'!$T$31*AA326</f>
        <v>-85238.133847845762</v>
      </c>
      <c r="W326" s="155">
        <f>-'Reg Asset and Liab 2018-2020'!$W$31*AA326</f>
        <v>-85238.133847845762</v>
      </c>
      <c r="Z326" s="155">
        <f>-'Reg Asset and Liab 2018-2020'!$Z$31*AA326</f>
        <v>-85238.133847845762</v>
      </c>
      <c r="AA326" s="172">
        <f>VLOOKUP($A326,'E&amp;G Splits'!$A$5:$I$45,AA$281,FALSE)</f>
        <v>0.99368284812224483</v>
      </c>
      <c r="AD326" s="155">
        <f>-'Reg Asset and Liab 2018-2020'!$AC$31*AN326</f>
        <v>-79884.937645314101</v>
      </c>
      <c r="AG326" s="155">
        <f>-'Reg Asset and Liab 2018-2020'!$AF$31*AN326</f>
        <v>-79884.937645314101</v>
      </c>
      <c r="AJ326" s="155">
        <f>-'Reg Asset and Liab 2018-2020'!$AI$31*AN326</f>
        <v>-79884.937645314101</v>
      </c>
      <c r="AM326" s="155">
        <f>-'Reg Asset and Liab 2018-2020'!$AL$31*AN326</f>
        <v>-79884.937645314101</v>
      </c>
      <c r="AN326" s="172">
        <f>VLOOKUP($A326,'E&amp;G Splits'!$A$5:$I$45,AN$281,FALSE)</f>
        <v>0.9990437591334802</v>
      </c>
      <c r="AO326" s="41"/>
    </row>
    <row r="327" spans="1:41" x14ac:dyDescent="0.15">
      <c r="A327" s="39" t="s">
        <v>261</v>
      </c>
      <c r="B327" s="39"/>
      <c r="E327" s="39">
        <f t="shared" si="442"/>
        <v>0</v>
      </c>
      <c r="G327" s="41"/>
      <c r="H327" s="155"/>
      <c r="J327" s="155">
        <f>-SUM(J323:J324)*1/(1-0.2495)</f>
        <v>-1748251.7763075277</v>
      </c>
      <c r="M327" s="155">
        <f>-SUM(M323:M324)*1/(1-0.2495)</f>
        <v>-2243298.7291645575</v>
      </c>
      <c r="N327" s="41" t="s">
        <v>108</v>
      </c>
      <c r="O327" s="155">
        <f t="shared" ref="O327:Z327" si="482">-SUM(O323:O324)*1/(1-0.2495)</f>
        <v>0</v>
      </c>
      <c r="P327" s="155">
        <f t="shared" si="482"/>
        <v>0</v>
      </c>
      <c r="Q327" s="155">
        <f t="shared" si="482"/>
        <v>-2972099.7444185871</v>
      </c>
      <c r="R327" s="155">
        <f t="shared" si="482"/>
        <v>-903295.79504396755</v>
      </c>
      <c r="S327" s="155">
        <f t="shared" si="482"/>
        <v>0</v>
      </c>
      <c r="T327" s="155">
        <f t="shared" si="482"/>
        <v>-2083873.6992036044</v>
      </c>
      <c r="U327" s="155">
        <f t="shared" si="482"/>
        <v>0</v>
      </c>
      <c r="V327" s="155">
        <f t="shared" si="482"/>
        <v>0</v>
      </c>
      <c r="W327" s="155">
        <f t="shared" si="482"/>
        <v>-2994704.9057194176</v>
      </c>
      <c r="X327" s="155">
        <f t="shared" si="482"/>
        <v>0</v>
      </c>
      <c r="Y327" s="155">
        <f t="shared" si="482"/>
        <v>0</v>
      </c>
      <c r="Z327" s="155">
        <f t="shared" si="482"/>
        <v>-2994704.9057194176</v>
      </c>
      <c r="AA327" s="41" t="s">
        <v>108</v>
      </c>
      <c r="AD327" s="155">
        <f t="shared" ref="AD327:AM327" si="483">-SUM(AD323:AD324)*1/(1-0.2495)</f>
        <v>-3181628.1918180585</v>
      </c>
      <c r="AE327" s="155">
        <f t="shared" si="483"/>
        <v>-968578.77934354846</v>
      </c>
      <c r="AF327" s="155">
        <f t="shared" si="483"/>
        <v>0</v>
      </c>
      <c r="AG327" s="155">
        <f t="shared" si="483"/>
        <v>-2213049.4124745093</v>
      </c>
      <c r="AH327" s="155">
        <f t="shared" si="483"/>
        <v>0</v>
      </c>
      <c r="AI327" s="155">
        <f t="shared" si="483"/>
        <v>0</v>
      </c>
      <c r="AJ327" s="155">
        <f t="shared" si="483"/>
        <v>-3181628.1918180585</v>
      </c>
      <c r="AK327" s="155">
        <f t="shared" si="483"/>
        <v>0</v>
      </c>
      <c r="AL327" s="155">
        <f t="shared" si="483"/>
        <v>0</v>
      </c>
      <c r="AM327" s="155">
        <f t="shared" si="483"/>
        <v>-3181628.1918180585</v>
      </c>
      <c r="AN327" s="41" t="s">
        <v>108</v>
      </c>
      <c r="AO327" s="41"/>
    </row>
    <row r="328" spans="1:41" x14ac:dyDescent="0.15">
      <c r="A328" s="39" t="s">
        <v>262</v>
      </c>
      <c r="B328" s="39"/>
      <c r="E328" s="39">
        <f t="shared" si="442"/>
        <v>0</v>
      </c>
      <c r="G328" s="41"/>
      <c r="H328" s="156"/>
      <c r="I328" s="156"/>
      <c r="J328" s="156">
        <f>-SUM(H325:J325)*1/(1-0.2495)</f>
        <v>48511.337844090391</v>
      </c>
      <c r="K328" s="156"/>
      <c r="L328" s="156"/>
      <c r="M328" s="156">
        <f>-'Reg Asset and Liab 2018-2020'!N39</f>
        <v>48511.337870278468</v>
      </c>
      <c r="N328" s="41" t="s">
        <v>108</v>
      </c>
      <c r="O328" s="156"/>
      <c r="P328" s="156"/>
      <c r="Q328" s="156">
        <f>-'Reg Asset and Liab 2018-2020'!Q39</f>
        <v>48511.337870278468</v>
      </c>
      <c r="R328" s="156"/>
      <c r="S328" s="156"/>
      <c r="T328" s="156">
        <f>-'Reg Asset and Liab 2018-2020'!T39</f>
        <v>48511.337870278468</v>
      </c>
      <c r="U328" s="156"/>
      <c r="V328" s="156"/>
      <c r="W328" s="156">
        <f>-'Reg Asset and Liab 2018-2020'!W39</f>
        <v>48511.337870278468</v>
      </c>
      <c r="X328" s="156"/>
      <c r="Y328" s="156"/>
      <c r="Z328" s="156">
        <f>-'Reg Asset and Liab 2018-2020'!Z39</f>
        <v>48511.337870278468</v>
      </c>
      <c r="AA328" s="41" t="s">
        <v>108</v>
      </c>
      <c r="AB328" s="156"/>
      <c r="AC328" s="156"/>
      <c r="AD328" s="156">
        <f>-'Reg Asset and Liab 2018-2020'!AC39</f>
        <v>48511.337870278468</v>
      </c>
      <c r="AE328" s="156"/>
      <c r="AF328" s="156"/>
      <c r="AG328" s="156">
        <f>-'Reg Asset and Liab 2018-2020'!AF39</f>
        <v>48511.337870278468</v>
      </c>
      <c r="AH328" s="156"/>
      <c r="AI328" s="156"/>
      <c r="AJ328" s="156">
        <f>-'Reg Asset and Liab 2018-2020'!AI39</f>
        <v>48511.337870278468</v>
      </c>
      <c r="AK328" s="156"/>
      <c r="AL328" s="156"/>
      <c r="AM328" s="156">
        <f>-'Reg Asset and Liab 2018-2020'!AL39</f>
        <v>48511.337870278468</v>
      </c>
      <c r="AN328" s="41" t="s">
        <v>108</v>
      </c>
      <c r="AO328" s="41"/>
    </row>
    <row r="329" spans="1:41" x14ac:dyDescent="0.15">
      <c r="G329" s="155"/>
      <c r="H329" s="155">
        <f t="shared" ref="H329:M329" si="484">SUM(H282:H328)</f>
        <v>-11185.59913482997</v>
      </c>
      <c r="I329" s="155">
        <f t="shared" si="484"/>
        <v>-11185.59913482997</v>
      </c>
      <c r="J329" s="155">
        <f t="shared" si="484"/>
        <v>-24330077.875588629</v>
      </c>
      <c r="K329" s="155">
        <f t="shared" si="484"/>
        <v>-11185.59913482997</v>
      </c>
      <c r="L329" s="155">
        <f t="shared" si="484"/>
        <v>-11185.59913482997</v>
      </c>
      <c r="M329" s="155">
        <f t="shared" si="484"/>
        <v>-15386131.930549704</v>
      </c>
      <c r="O329" s="155">
        <f t="shared" ref="O329:Z329" si="485">SUM(O282:O328)</f>
        <v>-11185.59913482997</v>
      </c>
      <c r="P329" s="155">
        <f t="shared" si="485"/>
        <v>-11185.59913482997</v>
      </c>
      <c r="Q329" s="155">
        <f t="shared" si="485"/>
        <v>-13222648.870402331</v>
      </c>
      <c r="R329" s="155">
        <f t="shared" si="485"/>
        <v>-236557.89999829989</v>
      </c>
      <c r="S329" s="155">
        <f t="shared" si="485"/>
        <v>-11185.59913482997</v>
      </c>
      <c r="T329" s="155">
        <f t="shared" si="485"/>
        <v>-14788644.360188004</v>
      </c>
      <c r="U329" s="155">
        <f t="shared" si="485"/>
        <v>-11185.59913482997</v>
      </c>
      <c r="V329" s="155">
        <f t="shared" si="485"/>
        <v>-11185.59913482997</v>
      </c>
      <c r="W329" s="155">
        <f t="shared" si="485"/>
        <v>-13937223.771938093</v>
      </c>
      <c r="X329" s="155">
        <f t="shared" si="485"/>
        <v>-11185.59913482997</v>
      </c>
      <c r="Y329" s="155">
        <f t="shared" si="485"/>
        <v>-11185.59913482997</v>
      </c>
      <c r="Z329" s="155">
        <f t="shared" si="485"/>
        <v>-14527690.840726068</v>
      </c>
      <c r="AB329" s="155">
        <f t="shared" ref="AB329:AM329" si="486">SUM(AB282:AB328)</f>
        <v>-11185.59913482997</v>
      </c>
      <c r="AC329" s="155">
        <f t="shared" si="486"/>
        <v>-11185.59913482997</v>
      </c>
      <c r="AD329" s="155">
        <f t="shared" si="486"/>
        <v>-3719666.3115821159</v>
      </c>
      <c r="AE329" s="155">
        <f t="shared" si="486"/>
        <v>-564416.13168199733</v>
      </c>
      <c r="AF329" s="155">
        <f t="shared" si="486"/>
        <v>300384.52796612203</v>
      </c>
      <c r="AG329" s="155">
        <f t="shared" si="486"/>
        <v>-5735551.9664007137</v>
      </c>
      <c r="AH329" s="155">
        <f t="shared" si="486"/>
        <v>-11185.59913482997</v>
      </c>
      <c r="AI329" s="155">
        <f t="shared" si="486"/>
        <v>-11185.59913482997</v>
      </c>
      <c r="AJ329" s="155">
        <f t="shared" si="486"/>
        <v>-4540111.4987924332</v>
      </c>
      <c r="AK329" s="155">
        <f t="shared" si="486"/>
        <v>-11185.59913482997</v>
      </c>
      <c r="AL329" s="155">
        <f t="shared" si="486"/>
        <v>-11185.59913482997</v>
      </c>
      <c r="AM329" s="155">
        <f t="shared" si="486"/>
        <v>-5683900.3569245609</v>
      </c>
      <c r="AO329" s="155"/>
    </row>
    <row r="330" spans="1:41" x14ac:dyDescent="0.15">
      <c r="G330" s="155"/>
      <c r="H330" s="155"/>
      <c r="AO330" s="155"/>
    </row>
    <row r="331" spans="1:41" x14ac:dyDescent="0.15">
      <c r="A331" s="182" t="s">
        <v>109</v>
      </c>
      <c r="B331" s="182" t="s">
        <v>508</v>
      </c>
      <c r="G331" s="155"/>
      <c r="H331" s="155"/>
      <c r="AO331" s="155"/>
    </row>
    <row r="332" spans="1:41" x14ac:dyDescent="0.15">
      <c r="A332" s="39" t="s">
        <v>58</v>
      </c>
      <c r="B332" s="39" t="s">
        <v>58</v>
      </c>
      <c r="G332" s="172"/>
      <c r="H332" s="155">
        <f t="shared" ref="H332:I354" si="487">(SUMIF($A$176:$A$215,$A332,H$176:H$215)*0.35+SUMIF($A$226:$A$264,$A332,H$226:H$264)*0.06*0.65)*$N332</f>
        <v>0</v>
      </c>
      <c r="I332" s="155">
        <f t="shared" si="487"/>
        <v>0</v>
      </c>
      <c r="J332" s="155">
        <f t="shared" ref="J332:J363" si="488">(SUMIF($A$176:$A$215,$A332,J$176:J$215)*0.21+SUMIF($A$226:$A$264,$A332,J$226:J$264)*0.05*0.79)*$N332</f>
        <v>0</v>
      </c>
      <c r="K332" s="155">
        <f t="shared" ref="K332:L354" si="489">(SUMIF($A$176:$A$215,$A332,K$176:K$215)*0.35+SUMIF($A$226:$A$264,$A332,K$226:K$264)*0.06*0.65)*$N332</f>
        <v>0</v>
      </c>
      <c r="L332" s="155">
        <f t="shared" si="489"/>
        <v>0</v>
      </c>
      <c r="M332" s="155">
        <f t="shared" ref="M332:M363" si="490">(SUMIF($A$176:$A$215,$A332,M$176:M$215)*0.21+SUMIF($A$226:$A$264,$A332,M$226:M$264)*0.05*0.79)*$N332</f>
        <v>0</v>
      </c>
      <c r="N332" s="172">
        <f t="shared" ref="N332:N343" si="491">100%-N282</f>
        <v>0</v>
      </c>
      <c r="O332" s="155">
        <f t="shared" ref="O332:P363" si="492">(SUMIF($A$176:$A$215,$A332,O$176:O$215)*0.35+SUMIF($A$226:$A$264,$A332,O$226:O$264)*0.06*0.65)*$AA332</f>
        <v>0</v>
      </c>
      <c r="P332" s="155">
        <f t="shared" si="492"/>
        <v>0</v>
      </c>
      <c r="Q332" s="155">
        <f t="shared" ref="Q332:Q363" si="493">(SUMIF($A$176:$A$215,$A332,Q$176:Q$215)*0.21+SUMIF($A$226:$A$264,$A332,Q$226:Q$264)*0.05*0.79)*$AA332</f>
        <v>0</v>
      </c>
      <c r="R332" s="155">
        <f t="shared" ref="R332:S363" si="494">(SUMIF($A$176:$A$215,$A332,R$176:R$215)*0.35+SUMIF($A$226:$A$264,$A332,R$226:R$264)*0.06*0.65)*$AA332</f>
        <v>0</v>
      </c>
      <c r="S332" s="155">
        <f t="shared" si="494"/>
        <v>0</v>
      </c>
      <c r="T332" s="155">
        <f>(SUMIF($A$176:$A$215,$A332,T$176:T$215)*0.21+SUMIF($A$226:$A$264,$A332,T$226:T$264)*0.05*0.79)*$AA332</f>
        <v>0</v>
      </c>
      <c r="U332" s="155">
        <f t="shared" ref="U332:V363" si="495">(SUMIF($A$176:$A$215,$A332,U$176:U$215)*0.35+SUMIF($A$226:$A$264,$A332,U$226:U$264)*0.06*0.65)*$AA332</f>
        <v>0</v>
      </c>
      <c r="V332" s="155">
        <f t="shared" si="495"/>
        <v>0</v>
      </c>
      <c r="W332" s="155">
        <f t="shared" ref="W332:W363" si="496">(SUMIF($A$176:$A$215,$A332,W$176:W$215)*0.21+SUMIF($A$226:$A$264,$A332,W$226:W$264)*0.05*0.79)*$AA332</f>
        <v>0</v>
      </c>
      <c r="X332" s="155">
        <f t="shared" ref="X332:Y363" si="497">(SUMIF($A$176:$A$215,$A332,X$176:X$215)*0.35+SUMIF($A$226:$A$264,$A332,X$226:X$264)*0.06*0.65)*$AA332</f>
        <v>0</v>
      </c>
      <c r="Y332" s="155">
        <f t="shared" si="497"/>
        <v>0</v>
      </c>
      <c r="Z332" s="155">
        <f t="shared" ref="Z332:Z363" si="498">(SUMIF($A$176:$A$215,$A332,Z$176:Z$215)*0.21+SUMIF($A$226:$A$264,$A332,Z$226:Z$264)*0.05*0.79)*$AA332</f>
        <v>0</v>
      </c>
      <c r="AA332" s="172">
        <f t="shared" ref="AA332:AA343" si="499">100%-AA282</f>
        <v>0</v>
      </c>
      <c r="AB332" s="155">
        <f t="shared" ref="AB332:AC354" si="500">(SUMIF($A$176:$A$215,$A332,AB$176:AB$215)*0.35+SUMIF($A$226:$A$264,$A332,AB$226:AB$264)*0.06*0.65)*$AN332</f>
        <v>0</v>
      </c>
      <c r="AC332" s="155">
        <f t="shared" si="500"/>
        <v>0</v>
      </c>
      <c r="AD332" s="155">
        <f>(SUMIF($A$176:$A$215,$A332,AD$176:AD$215)*0.21+SUMIF($A$226:$A$264,$A332,AD$226:AD$264)*0.05*0.79)*$AN332</f>
        <v>0</v>
      </c>
      <c r="AE332" s="155">
        <f t="shared" ref="AE332:AM332" si="501">(SUMIF($A$176:$A$215,$A332,AE$176:AE$215)*0.21+SUMIF($A$226:$A$264,$A332,AE$226:AE$264)*0.05*0.79)*$AN332</f>
        <v>0</v>
      </c>
      <c r="AF332" s="155">
        <f t="shared" si="501"/>
        <v>0</v>
      </c>
      <c r="AG332" s="155">
        <f t="shared" si="501"/>
        <v>0</v>
      </c>
      <c r="AH332" s="155">
        <f t="shared" si="501"/>
        <v>0</v>
      </c>
      <c r="AI332" s="155">
        <f t="shared" si="501"/>
        <v>0</v>
      </c>
      <c r="AJ332" s="155">
        <f t="shared" si="501"/>
        <v>0</v>
      </c>
      <c r="AK332" s="155">
        <f t="shared" si="501"/>
        <v>0</v>
      </c>
      <c r="AL332" s="155">
        <f t="shared" si="501"/>
        <v>0</v>
      </c>
      <c r="AM332" s="155">
        <f t="shared" si="501"/>
        <v>0</v>
      </c>
      <c r="AN332" s="172">
        <f t="shared" ref="AN332:AN343" si="502">100%-AN282</f>
        <v>0</v>
      </c>
      <c r="AO332" s="172"/>
    </row>
    <row r="333" spans="1:41" x14ac:dyDescent="0.15">
      <c r="A333" s="39" t="s">
        <v>90</v>
      </c>
      <c r="B333" s="39" t="s">
        <v>90</v>
      </c>
      <c r="G333" s="172"/>
      <c r="H333" s="155">
        <f t="shared" si="487"/>
        <v>0</v>
      </c>
      <c r="I333" s="155">
        <f t="shared" si="487"/>
        <v>0</v>
      </c>
      <c r="J333" s="155">
        <f t="shared" si="488"/>
        <v>42582.992716249952</v>
      </c>
      <c r="K333" s="155">
        <f t="shared" si="489"/>
        <v>0</v>
      </c>
      <c r="L333" s="155">
        <f t="shared" si="489"/>
        <v>0</v>
      </c>
      <c r="M333" s="155">
        <f t="shared" si="490"/>
        <v>42582.992716249952</v>
      </c>
      <c r="N333" s="172">
        <f t="shared" si="491"/>
        <v>1</v>
      </c>
      <c r="O333" s="155">
        <f t="shared" si="492"/>
        <v>0</v>
      </c>
      <c r="P333" s="155">
        <f t="shared" si="492"/>
        <v>0</v>
      </c>
      <c r="Q333" s="155">
        <f t="shared" si="493"/>
        <v>194547.14845499993</v>
      </c>
      <c r="R333" s="155">
        <f t="shared" si="494"/>
        <v>0</v>
      </c>
      <c r="S333" s="155">
        <f t="shared" si="494"/>
        <v>0</v>
      </c>
      <c r="T333" s="155">
        <f t="shared" ref="T333:T363" si="503">(SUMIF($A$176:$A$215,$A333,T$176:T$215)*0.21+SUMIF($A$226:$A$264,$A333,T$226:T$264)*0.05*0.79)*$AA333</f>
        <v>194547.14845499993</v>
      </c>
      <c r="U333" s="155">
        <f t="shared" si="495"/>
        <v>0</v>
      </c>
      <c r="V333" s="155">
        <f t="shared" si="495"/>
        <v>0</v>
      </c>
      <c r="W333" s="155">
        <f t="shared" si="496"/>
        <v>194547.14845499993</v>
      </c>
      <c r="X333" s="155">
        <f t="shared" si="497"/>
        <v>0</v>
      </c>
      <c r="Y333" s="155">
        <f t="shared" si="497"/>
        <v>0</v>
      </c>
      <c r="Z333" s="155">
        <f t="shared" si="498"/>
        <v>194547.14845499993</v>
      </c>
      <c r="AA333" s="172">
        <f t="shared" si="499"/>
        <v>1</v>
      </c>
      <c r="AB333" s="155">
        <f t="shared" si="500"/>
        <v>0</v>
      </c>
      <c r="AC333" s="155">
        <f t="shared" si="500"/>
        <v>0</v>
      </c>
      <c r="AD333" s="155">
        <f t="shared" ref="AD333:AM363" si="504">(SUMIF($A$176:$A$215,$A333,AD$176:AD$215)*0.21+SUMIF($A$226:$A$264,$A333,AD$226:AD$264)*0.05*0.79)*$AN333</f>
        <v>0</v>
      </c>
      <c r="AE333" s="155">
        <f t="shared" si="504"/>
        <v>0</v>
      </c>
      <c r="AF333" s="155">
        <f t="shared" si="504"/>
        <v>0</v>
      </c>
      <c r="AG333" s="155">
        <f t="shared" si="504"/>
        <v>0</v>
      </c>
      <c r="AH333" s="155">
        <f t="shared" si="504"/>
        <v>0</v>
      </c>
      <c r="AI333" s="155">
        <f t="shared" si="504"/>
        <v>0</v>
      </c>
      <c r="AJ333" s="155">
        <f t="shared" si="504"/>
        <v>0</v>
      </c>
      <c r="AK333" s="155">
        <f t="shared" si="504"/>
        <v>0</v>
      </c>
      <c r="AL333" s="155">
        <f t="shared" si="504"/>
        <v>0</v>
      </c>
      <c r="AM333" s="155">
        <f t="shared" si="504"/>
        <v>0</v>
      </c>
      <c r="AN333" s="172">
        <f t="shared" si="502"/>
        <v>1</v>
      </c>
      <c r="AO333" s="172"/>
    </row>
    <row r="334" spans="1:41" x14ac:dyDescent="0.15">
      <c r="A334" s="39" t="s">
        <v>39</v>
      </c>
      <c r="B334" s="39" t="s">
        <v>39</v>
      </c>
      <c r="G334" s="172"/>
      <c r="H334" s="155">
        <f t="shared" si="487"/>
        <v>0</v>
      </c>
      <c r="I334" s="155">
        <f t="shared" si="487"/>
        <v>0</v>
      </c>
      <c r="J334" s="155">
        <f t="shared" si="488"/>
        <v>0</v>
      </c>
      <c r="K334" s="155">
        <f t="shared" si="489"/>
        <v>0</v>
      </c>
      <c r="L334" s="155">
        <f t="shared" si="489"/>
        <v>0</v>
      </c>
      <c r="M334" s="155">
        <f t="shared" si="490"/>
        <v>0</v>
      </c>
      <c r="N334" s="172">
        <f t="shared" si="491"/>
        <v>0</v>
      </c>
      <c r="O334" s="155">
        <f t="shared" si="492"/>
        <v>0</v>
      </c>
      <c r="P334" s="155">
        <f t="shared" si="492"/>
        <v>0</v>
      </c>
      <c r="Q334" s="155">
        <f t="shared" si="493"/>
        <v>0</v>
      </c>
      <c r="R334" s="155">
        <f t="shared" si="494"/>
        <v>0</v>
      </c>
      <c r="S334" s="155">
        <f t="shared" si="494"/>
        <v>0</v>
      </c>
      <c r="T334" s="155">
        <f t="shared" si="503"/>
        <v>0</v>
      </c>
      <c r="U334" s="155">
        <f t="shared" si="495"/>
        <v>0</v>
      </c>
      <c r="V334" s="155">
        <f t="shared" si="495"/>
        <v>0</v>
      </c>
      <c r="W334" s="155">
        <f t="shared" si="496"/>
        <v>0</v>
      </c>
      <c r="X334" s="155">
        <f t="shared" si="497"/>
        <v>0</v>
      </c>
      <c r="Y334" s="155">
        <f t="shared" si="497"/>
        <v>0</v>
      </c>
      <c r="Z334" s="155">
        <f t="shared" si="498"/>
        <v>0</v>
      </c>
      <c r="AA334" s="172">
        <f t="shared" si="499"/>
        <v>0</v>
      </c>
      <c r="AB334" s="155">
        <f t="shared" si="500"/>
        <v>0</v>
      </c>
      <c r="AC334" s="155">
        <f t="shared" si="500"/>
        <v>0</v>
      </c>
      <c r="AD334" s="155">
        <f t="shared" si="504"/>
        <v>0</v>
      </c>
      <c r="AE334" s="155">
        <f t="shared" si="504"/>
        <v>0</v>
      </c>
      <c r="AF334" s="155">
        <f t="shared" si="504"/>
        <v>0</v>
      </c>
      <c r="AG334" s="155">
        <f t="shared" si="504"/>
        <v>0</v>
      </c>
      <c r="AH334" s="155">
        <f t="shared" si="504"/>
        <v>0</v>
      </c>
      <c r="AI334" s="155">
        <f t="shared" si="504"/>
        <v>0</v>
      </c>
      <c r="AJ334" s="155">
        <f t="shared" si="504"/>
        <v>0</v>
      </c>
      <c r="AK334" s="155">
        <f t="shared" si="504"/>
        <v>0</v>
      </c>
      <c r="AL334" s="155">
        <f t="shared" si="504"/>
        <v>0</v>
      </c>
      <c r="AM334" s="155">
        <f t="shared" si="504"/>
        <v>0</v>
      </c>
      <c r="AN334" s="172">
        <f t="shared" si="502"/>
        <v>0</v>
      </c>
      <c r="AO334" s="172"/>
    </row>
    <row r="335" spans="1:41" x14ac:dyDescent="0.15">
      <c r="A335" s="39" t="s">
        <v>88</v>
      </c>
      <c r="B335" s="39" t="s">
        <v>88</v>
      </c>
      <c r="G335" s="172"/>
      <c r="H335" s="155">
        <f t="shared" si="487"/>
        <v>0</v>
      </c>
      <c r="I335" s="155">
        <f t="shared" si="487"/>
        <v>0</v>
      </c>
      <c r="J335" s="155">
        <f t="shared" si="488"/>
        <v>-44936.510622500005</v>
      </c>
      <c r="K335" s="155">
        <f t="shared" si="489"/>
        <v>0</v>
      </c>
      <c r="L335" s="155">
        <f t="shared" si="489"/>
        <v>0</v>
      </c>
      <c r="M335" s="155">
        <f t="shared" si="490"/>
        <v>-44936.510622500005</v>
      </c>
      <c r="N335" s="172">
        <f t="shared" si="491"/>
        <v>1</v>
      </c>
      <c r="O335" s="155">
        <f t="shared" si="492"/>
        <v>0</v>
      </c>
      <c r="P335" s="155">
        <f t="shared" si="492"/>
        <v>0</v>
      </c>
      <c r="Q335" s="155">
        <f t="shared" si="493"/>
        <v>-74018.854372500005</v>
      </c>
      <c r="R335" s="155">
        <f t="shared" si="494"/>
        <v>0</v>
      </c>
      <c r="S335" s="155">
        <f t="shared" si="494"/>
        <v>0</v>
      </c>
      <c r="T335" s="155">
        <f t="shared" si="503"/>
        <v>-74018.854372500005</v>
      </c>
      <c r="U335" s="155">
        <f t="shared" si="495"/>
        <v>0</v>
      </c>
      <c r="V335" s="155">
        <f t="shared" si="495"/>
        <v>0</v>
      </c>
      <c r="W335" s="155">
        <f t="shared" si="496"/>
        <v>-74018.854372500005</v>
      </c>
      <c r="X335" s="155">
        <f t="shared" si="497"/>
        <v>0</v>
      </c>
      <c r="Y335" s="155">
        <f t="shared" si="497"/>
        <v>0</v>
      </c>
      <c r="Z335" s="155">
        <f t="shared" si="498"/>
        <v>-74018.854372500005</v>
      </c>
      <c r="AA335" s="172">
        <f t="shared" si="499"/>
        <v>1</v>
      </c>
      <c r="AB335" s="155">
        <f t="shared" si="500"/>
        <v>0</v>
      </c>
      <c r="AC335" s="155">
        <f t="shared" si="500"/>
        <v>0</v>
      </c>
      <c r="AD335" s="155">
        <f t="shared" si="504"/>
        <v>0</v>
      </c>
      <c r="AE335" s="155">
        <f t="shared" si="504"/>
        <v>0</v>
      </c>
      <c r="AF335" s="155">
        <f t="shared" si="504"/>
        <v>0</v>
      </c>
      <c r="AG335" s="155">
        <f t="shared" si="504"/>
        <v>0</v>
      </c>
      <c r="AH335" s="155">
        <f t="shared" si="504"/>
        <v>0</v>
      </c>
      <c r="AI335" s="155">
        <f t="shared" si="504"/>
        <v>0</v>
      </c>
      <c r="AJ335" s="155">
        <f t="shared" si="504"/>
        <v>0</v>
      </c>
      <c r="AK335" s="155">
        <f t="shared" si="504"/>
        <v>0</v>
      </c>
      <c r="AL335" s="155">
        <f t="shared" si="504"/>
        <v>0</v>
      </c>
      <c r="AM335" s="155">
        <f t="shared" si="504"/>
        <v>0</v>
      </c>
      <c r="AN335" s="172">
        <f t="shared" si="502"/>
        <v>1</v>
      </c>
      <c r="AO335" s="172"/>
    </row>
    <row r="336" spans="1:41" x14ac:dyDescent="0.15">
      <c r="A336" s="39" t="s">
        <v>37</v>
      </c>
      <c r="B336" s="39" t="s">
        <v>37</v>
      </c>
      <c r="G336" s="172"/>
      <c r="H336" s="155">
        <f t="shared" si="487"/>
        <v>0</v>
      </c>
      <c r="I336" s="155">
        <f t="shared" si="487"/>
        <v>0</v>
      </c>
      <c r="J336" s="155">
        <f t="shared" si="488"/>
        <v>0</v>
      </c>
      <c r="K336" s="155">
        <f t="shared" si="489"/>
        <v>0</v>
      </c>
      <c r="L336" s="155">
        <f t="shared" si="489"/>
        <v>0</v>
      </c>
      <c r="M336" s="155">
        <f t="shared" si="490"/>
        <v>0</v>
      </c>
      <c r="N336" s="172">
        <f t="shared" si="491"/>
        <v>0</v>
      </c>
      <c r="O336" s="155">
        <f t="shared" si="492"/>
        <v>0</v>
      </c>
      <c r="P336" s="155">
        <f t="shared" si="492"/>
        <v>0</v>
      </c>
      <c r="Q336" s="155">
        <f t="shared" si="493"/>
        <v>0</v>
      </c>
      <c r="R336" s="155">
        <f t="shared" si="494"/>
        <v>0</v>
      </c>
      <c r="S336" s="155">
        <f t="shared" si="494"/>
        <v>0</v>
      </c>
      <c r="T336" s="155">
        <f t="shared" si="503"/>
        <v>0</v>
      </c>
      <c r="U336" s="155">
        <f t="shared" si="495"/>
        <v>0</v>
      </c>
      <c r="V336" s="155">
        <f t="shared" si="495"/>
        <v>0</v>
      </c>
      <c r="W336" s="155">
        <f t="shared" si="496"/>
        <v>0</v>
      </c>
      <c r="X336" s="155">
        <f t="shared" si="497"/>
        <v>0</v>
      </c>
      <c r="Y336" s="155">
        <f t="shared" si="497"/>
        <v>0</v>
      </c>
      <c r="Z336" s="155">
        <f t="shared" si="498"/>
        <v>0</v>
      </c>
      <c r="AA336" s="172">
        <f t="shared" si="499"/>
        <v>0</v>
      </c>
      <c r="AB336" s="155">
        <f t="shared" si="500"/>
        <v>0</v>
      </c>
      <c r="AC336" s="155">
        <f t="shared" si="500"/>
        <v>0</v>
      </c>
      <c r="AD336" s="155">
        <f t="shared" si="504"/>
        <v>0</v>
      </c>
      <c r="AE336" s="155">
        <f t="shared" si="504"/>
        <v>0</v>
      </c>
      <c r="AF336" s="155">
        <f t="shared" si="504"/>
        <v>0</v>
      </c>
      <c r="AG336" s="155">
        <f t="shared" si="504"/>
        <v>0</v>
      </c>
      <c r="AH336" s="155">
        <f t="shared" si="504"/>
        <v>0</v>
      </c>
      <c r="AI336" s="155">
        <f t="shared" si="504"/>
        <v>0</v>
      </c>
      <c r="AJ336" s="155">
        <f t="shared" si="504"/>
        <v>0</v>
      </c>
      <c r="AK336" s="155">
        <f t="shared" si="504"/>
        <v>0</v>
      </c>
      <c r="AL336" s="155">
        <f t="shared" si="504"/>
        <v>0</v>
      </c>
      <c r="AM336" s="155">
        <f t="shared" si="504"/>
        <v>0</v>
      </c>
      <c r="AN336" s="172">
        <f t="shared" si="502"/>
        <v>0</v>
      </c>
      <c r="AO336" s="172"/>
    </row>
    <row r="337" spans="1:41" x14ac:dyDescent="0.15">
      <c r="A337" s="39" t="s">
        <v>77</v>
      </c>
      <c r="B337" s="39" t="s">
        <v>77</v>
      </c>
      <c r="G337" s="172"/>
      <c r="H337" s="155">
        <f t="shared" si="487"/>
        <v>0</v>
      </c>
      <c r="I337" s="155">
        <f t="shared" si="487"/>
        <v>0</v>
      </c>
      <c r="J337" s="155">
        <f t="shared" si="488"/>
        <v>0</v>
      </c>
      <c r="K337" s="155">
        <f t="shared" si="489"/>
        <v>0</v>
      </c>
      <c r="L337" s="155">
        <f t="shared" si="489"/>
        <v>0</v>
      </c>
      <c r="M337" s="155">
        <f t="shared" si="490"/>
        <v>0</v>
      </c>
      <c r="N337" s="172">
        <f t="shared" si="491"/>
        <v>0</v>
      </c>
      <c r="O337" s="155">
        <f t="shared" si="492"/>
        <v>0</v>
      </c>
      <c r="P337" s="155">
        <f t="shared" si="492"/>
        <v>0</v>
      </c>
      <c r="Q337" s="155">
        <f t="shared" si="493"/>
        <v>0</v>
      </c>
      <c r="R337" s="155">
        <f t="shared" si="494"/>
        <v>0</v>
      </c>
      <c r="S337" s="155">
        <f t="shared" si="494"/>
        <v>0</v>
      </c>
      <c r="T337" s="155">
        <f t="shared" si="503"/>
        <v>0</v>
      </c>
      <c r="U337" s="155">
        <f t="shared" si="495"/>
        <v>0</v>
      </c>
      <c r="V337" s="155">
        <f t="shared" si="495"/>
        <v>0</v>
      </c>
      <c r="W337" s="155">
        <f t="shared" si="496"/>
        <v>0</v>
      </c>
      <c r="X337" s="155">
        <f t="shared" si="497"/>
        <v>0</v>
      </c>
      <c r="Y337" s="155">
        <f t="shared" si="497"/>
        <v>0</v>
      </c>
      <c r="Z337" s="155">
        <f t="shared" si="498"/>
        <v>0</v>
      </c>
      <c r="AA337" s="172">
        <f t="shared" si="499"/>
        <v>0</v>
      </c>
      <c r="AB337" s="155">
        <f t="shared" si="500"/>
        <v>0</v>
      </c>
      <c r="AC337" s="155">
        <f t="shared" si="500"/>
        <v>0</v>
      </c>
      <c r="AD337" s="155">
        <f t="shared" si="504"/>
        <v>0</v>
      </c>
      <c r="AE337" s="155">
        <f t="shared" si="504"/>
        <v>0</v>
      </c>
      <c r="AF337" s="155">
        <f t="shared" si="504"/>
        <v>0</v>
      </c>
      <c r="AG337" s="155">
        <f t="shared" si="504"/>
        <v>0</v>
      </c>
      <c r="AH337" s="155">
        <f t="shared" si="504"/>
        <v>0</v>
      </c>
      <c r="AI337" s="155">
        <f t="shared" si="504"/>
        <v>0</v>
      </c>
      <c r="AJ337" s="155">
        <f t="shared" si="504"/>
        <v>0</v>
      </c>
      <c r="AK337" s="155">
        <f t="shared" si="504"/>
        <v>0</v>
      </c>
      <c r="AL337" s="155">
        <f t="shared" si="504"/>
        <v>0</v>
      </c>
      <c r="AM337" s="155">
        <f t="shared" si="504"/>
        <v>0</v>
      </c>
      <c r="AN337" s="172">
        <f t="shared" si="502"/>
        <v>0</v>
      </c>
      <c r="AO337" s="172"/>
    </row>
    <row r="338" spans="1:41" x14ac:dyDescent="0.15">
      <c r="A338" s="39" t="s">
        <v>294</v>
      </c>
      <c r="B338" s="39" t="s">
        <v>69</v>
      </c>
      <c r="G338" s="172"/>
      <c r="H338" s="155">
        <f t="shared" si="487"/>
        <v>0</v>
      </c>
      <c r="I338" s="155">
        <f t="shared" si="487"/>
        <v>0</v>
      </c>
      <c r="J338" s="155">
        <f t="shared" si="488"/>
        <v>26611.181501342398</v>
      </c>
      <c r="K338" s="155">
        <f t="shared" si="489"/>
        <v>0</v>
      </c>
      <c r="L338" s="155">
        <f t="shared" si="489"/>
        <v>0</v>
      </c>
      <c r="M338" s="155">
        <f t="shared" si="490"/>
        <v>26611.181501342398</v>
      </c>
      <c r="N338" s="172">
        <f t="shared" si="491"/>
        <v>0.1784</v>
      </c>
      <c r="O338" s="155">
        <f t="shared" si="492"/>
        <v>0</v>
      </c>
      <c r="P338" s="155">
        <f t="shared" si="492"/>
        <v>0</v>
      </c>
      <c r="Q338" s="155">
        <f t="shared" si="493"/>
        <v>26611.181982346152</v>
      </c>
      <c r="R338" s="155">
        <f t="shared" si="494"/>
        <v>0</v>
      </c>
      <c r="S338" s="155">
        <f t="shared" si="494"/>
        <v>0</v>
      </c>
      <c r="T338" s="155">
        <f t="shared" si="503"/>
        <v>26611.181982346152</v>
      </c>
      <c r="U338" s="155">
        <f t="shared" si="495"/>
        <v>0</v>
      </c>
      <c r="V338" s="155">
        <f t="shared" si="495"/>
        <v>0</v>
      </c>
      <c r="W338" s="155">
        <f t="shared" si="496"/>
        <v>26611.181982346152</v>
      </c>
      <c r="X338" s="155">
        <f t="shared" si="497"/>
        <v>0</v>
      </c>
      <c r="Y338" s="155">
        <f t="shared" si="497"/>
        <v>0</v>
      </c>
      <c r="Z338" s="155">
        <f t="shared" si="498"/>
        <v>26611.181982346152</v>
      </c>
      <c r="AA338" s="172">
        <f t="shared" si="499"/>
        <v>0.1784</v>
      </c>
      <c r="AB338" s="155">
        <f t="shared" si="500"/>
        <v>0</v>
      </c>
      <c r="AC338" s="155">
        <f t="shared" si="500"/>
        <v>0</v>
      </c>
      <c r="AD338" s="155">
        <f t="shared" si="504"/>
        <v>26684.089330243009</v>
      </c>
      <c r="AE338" s="155">
        <f t="shared" si="504"/>
        <v>0</v>
      </c>
      <c r="AF338" s="155">
        <f t="shared" si="504"/>
        <v>0</v>
      </c>
      <c r="AG338" s="155">
        <f t="shared" si="504"/>
        <v>26684.089330243009</v>
      </c>
      <c r="AH338" s="155">
        <f t="shared" si="504"/>
        <v>0</v>
      </c>
      <c r="AI338" s="155">
        <f t="shared" si="504"/>
        <v>0</v>
      </c>
      <c r="AJ338" s="155">
        <f t="shared" si="504"/>
        <v>26684.089330243009</v>
      </c>
      <c r="AK338" s="155">
        <f t="shared" si="504"/>
        <v>0</v>
      </c>
      <c r="AL338" s="155">
        <f t="shared" si="504"/>
        <v>0</v>
      </c>
      <c r="AM338" s="155">
        <f t="shared" si="504"/>
        <v>26684.089330243009</v>
      </c>
      <c r="AN338" s="172">
        <f t="shared" si="502"/>
        <v>0.1784</v>
      </c>
      <c r="AO338" s="172"/>
    </row>
    <row r="339" spans="1:41" x14ac:dyDescent="0.15">
      <c r="A339" s="39" t="s">
        <v>295</v>
      </c>
      <c r="B339" s="39" t="s">
        <v>68</v>
      </c>
      <c r="G339" s="172"/>
      <c r="H339" s="155">
        <f t="shared" si="487"/>
        <v>0</v>
      </c>
      <c r="I339" s="155">
        <f t="shared" si="487"/>
        <v>0</v>
      </c>
      <c r="J339" s="155">
        <f t="shared" si="488"/>
        <v>-15951.984403368569</v>
      </c>
      <c r="K339" s="155">
        <f t="shared" si="489"/>
        <v>0</v>
      </c>
      <c r="L339" s="155">
        <f t="shared" si="489"/>
        <v>0</v>
      </c>
      <c r="M339" s="155">
        <f t="shared" si="490"/>
        <v>-15951.984403368569</v>
      </c>
      <c r="N339" s="172">
        <f t="shared" si="491"/>
        <v>0.1784</v>
      </c>
      <c r="O339" s="155">
        <f t="shared" si="492"/>
        <v>0</v>
      </c>
      <c r="P339" s="155">
        <f t="shared" si="492"/>
        <v>0</v>
      </c>
      <c r="Q339" s="155">
        <f t="shared" si="493"/>
        <v>-15950.171874550526</v>
      </c>
      <c r="R339" s="155">
        <f t="shared" si="494"/>
        <v>0</v>
      </c>
      <c r="S339" s="155">
        <f t="shared" si="494"/>
        <v>0</v>
      </c>
      <c r="T339" s="155">
        <f t="shared" si="503"/>
        <v>-15950.171874550526</v>
      </c>
      <c r="U339" s="155">
        <f t="shared" si="495"/>
        <v>0</v>
      </c>
      <c r="V339" s="155">
        <f t="shared" si="495"/>
        <v>0</v>
      </c>
      <c r="W339" s="155">
        <f t="shared" si="496"/>
        <v>-15950.171874550526</v>
      </c>
      <c r="X339" s="155">
        <f t="shared" si="497"/>
        <v>0</v>
      </c>
      <c r="Y339" s="155">
        <f t="shared" si="497"/>
        <v>0</v>
      </c>
      <c r="Z339" s="155">
        <f t="shared" si="498"/>
        <v>-15950.171874550526</v>
      </c>
      <c r="AA339" s="172">
        <f t="shared" si="499"/>
        <v>0.1784</v>
      </c>
      <c r="AB339" s="155">
        <f t="shared" si="500"/>
        <v>0</v>
      </c>
      <c r="AC339" s="155">
        <f t="shared" si="500"/>
        <v>0</v>
      </c>
      <c r="AD339" s="155">
        <f t="shared" si="504"/>
        <v>-15993.870975576472</v>
      </c>
      <c r="AE339" s="155">
        <f t="shared" si="504"/>
        <v>0</v>
      </c>
      <c r="AF339" s="155">
        <f t="shared" si="504"/>
        <v>0</v>
      </c>
      <c r="AG339" s="155">
        <f t="shared" si="504"/>
        <v>-15993.870975576472</v>
      </c>
      <c r="AH339" s="155">
        <f t="shared" si="504"/>
        <v>0</v>
      </c>
      <c r="AI339" s="155">
        <f t="shared" si="504"/>
        <v>0</v>
      </c>
      <c r="AJ339" s="155">
        <f t="shared" si="504"/>
        <v>-15993.870975576472</v>
      </c>
      <c r="AK339" s="155">
        <f t="shared" si="504"/>
        <v>0</v>
      </c>
      <c r="AL339" s="155">
        <f t="shared" si="504"/>
        <v>0</v>
      </c>
      <c r="AM339" s="155">
        <f t="shared" si="504"/>
        <v>-15993.870975576472</v>
      </c>
      <c r="AN339" s="172">
        <f t="shared" si="502"/>
        <v>0.1784</v>
      </c>
      <c r="AO339" s="172"/>
    </row>
    <row r="340" spans="1:41" x14ac:dyDescent="0.15">
      <c r="A340" s="39" t="s">
        <v>49</v>
      </c>
      <c r="B340" s="39" t="s">
        <v>49</v>
      </c>
      <c r="G340" s="172"/>
      <c r="H340" s="155">
        <f t="shared" si="487"/>
        <v>0</v>
      </c>
      <c r="I340" s="155">
        <f t="shared" si="487"/>
        <v>0</v>
      </c>
      <c r="J340" s="155">
        <f t="shared" si="488"/>
        <v>0</v>
      </c>
      <c r="K340" s="155">
        <f t="shared" si="489"/>
        <v>0</v>
      </c>
      <c r="L340" s="155">
        <f t="shared" si="489"/>
        <v>0</v>
      </c>
      <c r="M340" s="155">
        <f t="shared" si="490"/>
        <v>0</v>
      </c>
      <c r="N340" s="172">
        <f t="shared" si="491"/>
        <v>0</v>
      </c>
      <c r="O340" s="155">
        <f t="shared" si="492"/>
        <v>0</v>
      </c>
      <c r="P340" s="155">
        <f t="shared" si="492"/>
        <v>0</v>
      </c>
      <c r="Q340" s="155">
        <f t="shared" si="493"/>
        <v>0</v>
      </c>
      <c r="R340" s="155">
        <f t="shared" si="494"/>
        <v>0</v>
      </c>
      <c r="S340" s="155">
        <f t="shared" si="494"/>
        <v>0</v>
      </c>
      <c r="T340" s="155">
        <f t="shared" si="503"/>
        <v>0</v>
      </c>
      <c r="U340" s="155">
        <f t="shared" si="495"/>
        <v>0</v>
      </c>
      <c r="V340" s="155">
        <f t="shared" si="495"/>
        <v>0</v>
      </c>
      <c r="W340" s="155">
        <f t="shared" si="496"/>
        <v>0</v>
      </c>
      <c r="X340" s="155">
        <f t="shared" si="497"/>
        <v>0</v>
      </c>
      <c r="Y340" s="155">
        <f t="shared" si="497"/>
        <v>0</v>
      </c>
      <c r="Z340" s="155">
        <f t="shared" si="498"/>
        <v>0</v>
      </c>
      <c r="AA340" s="172">
        <f t="shared" si="499"/>
        <v>0</v>
      </c>
      <c r="AB340" s="155">
        <f t="shared" si="500"/>
        <v>0</v>
      </c>
      <c r="AC340" s="155">
        <f t="shared" si="500"/>
        <v>0</v>
      </c>
      <c r="AD340" s="155">
        <f t="shared" si="504"/>
        <v>0</v>
      </c>
      <c r="AE340" s="155">
        <f t="shared" si="504"/>
        <v>0</v>
      </c>
      <c r="AF340" s="155">
        <f t="shared" si="504"/>
        <v>0</v>
      </c>
      <c r="AG340" s="155">
        <f t="shared" si="504"/>
        <v>0</v>
      </c>
      <c r="AH340" s="155">
        <f t="shared" si="504"/>
        <v>0</v>
      </c>
      <c r="AI340" s="155">
        <f t="shared" si="504"/>
        <v>0</v>
      </c>
      <c r="AJ340" s="155">
        <f t="shared" si="504"/>
        <v>0</v>
      </c>
      <c r="AK340" s="155">
        <f t="shared" si="504"/>
        <v>0</v>
      </c>
      <c r="AL340" s="155">
        <f t="shared" si="504"/>
        <v>0</v>
      </c>
      <c r="AM340" s="155">
        <f t="shared" si="504"/>
        <v>0</v>
      </c>
      <c r="AN340" s="172">
        <f t="shared" si="502"/>
        <v>0</v>
      </c>
      <c r="AO340" s="172"/>
    </row>
    <row r="341" spans="1:41" x14ac:dyDescent="0.15">
      <c r="A341" s="39" t="s">
        <v>297</v>
      </c>
      <c r="B341" s="39" t="s">
        <v>270</v>
      </c>
      <c r="G341" s="172"/>
      <c r="H341" s="155">
        <f t="shared" si="487"/>
        <v>0</v>
      </c>
      <c r="I341" s="155">
        <f t="shared" si="487"/>
        <v>0</v>
      </c>
      <c r="J341" s="155">
        <f t="shared" si="488"/>
        <v>0</v>
      </c>
      <c r="K341" s="155">
        <f t="shared" si="489"/>
        <v>0</v>
      </c>
      <c r="L341" s="155">
        <f t="shared" si="489"/>
        <v>0</v>
      </c>
      <c r="M341" s="155">
        <f t="shared" si="490"/>
        <v>0</v>
      </c>
      <c r="N341" s="172">
        <f t="shared" si="491"/>
        <v>0</v>
      </c>
      <c r="O341" s="155">
        <f t="shared" si="492"/>
        <v>0</v>
      </c>
      <c r="P341" s="155">
        <f t="shared" si="492"/>
        <v>0</v>
      </c>
      <c r="Q341" s="155">
        <f t="shared" si="493"/>
        <v>0</v>
      </c>
      <c r="R341" s="155">
        <f t="shared" si="494"/>
        <v>0</v>
      </c>
      <c r="S341" s="155">
        <f t="shared" si="494"/>
        <v>0</v>
      </c>
      <c r="T341" s="155">
        <f t="shared" si="503"/>
        <v>0</v>
      </c>
      <c r="U341" s="155">
        <f t="shared" si="495"/>
        <v>0</v>
      </c>
      <c r="V341" s="155">
        <f t="shared" si="495"/>
        <v>0</v>
      </c>
      <c r="W341" s="155">
        <f t="shared" si="496"/>
        <v>0</v>
      </c>
      <c r="X341" s="155">
        <f t="shared" si="497"/>
        <v>0</v>
      </c>
      <c r="Y341" s="155">
        <f t="shared" si="497"/>
        <v>0</v>
      </c>
      <c r="Z341" s="155">
        <f t="shared" si="498"/>
        <v>0</v>
      </c>
      <c r="AA341" s="172">
        <f t="shared" si="499"/>
        <v>0</v>
      </c>
      <c r="AB341" s="155">
        <f t="shared" si="500"/>
        <v>0</v>
      </c>
      <c r="AC341" s="155">
        <f t="shared" si="500"/>
        <v>0</v>
      </c>
      <c r="AD341" s="155">
        <f t="shared" si="504"/>
        <v>0</v>
      </c>
      <c r="AE341" s="155">
        <f t="shared" si="504"/>
        <v>0</v>
      </c>
      <c r="AF341" s="155">
        <f t="shared" si="504"/>
        <v>0</v>
      </c>
      <c r="AG341" s="155">
        <f t="shared" si="504"/>
        <v>0</v>
      </c>
      <c r="AH341" s="155">
        <f t="shared" si="504"/>
        <v>0</v>
      </c>
      <c r="AI341" s="155">
        <f t="shared" si="504"/>
        <v>0</v>
      </c>
      <c r="AJ341" s="155">
        <f t="shared" si="504"/>
        <v>0</v>
      </c>
      <c r="AK341" s="155">
        <f t="shared" si="504"/>
        <v>0</v>
      </c>
      <c r="AL341" s="155">
        <f t="shared" si="504"/>
        <v>0</v>
      </c>
      <c r="AM341" s="155">
        <f t="shared" si="504"/>
        <v>0</v>
      </c>
      <c r="AN341" s="172">
        <f t="shared" si="502"/>
        <v>0</v>
      </c>
      <c r="AO341" s="172"/>
    </row>
    <row r="342" spans="1:41" x14ac:dyDescent="0.15">
      <c r="A342" s="39" t="s">
        <v>299</v>
      </c>
      <c r="B342" s="39" t="s">
        <v>652</v>
      </c>
      <c r="G342" s="172"/>
      <c r="H342" s="155">
        <f t="shared" si="487"/>
        <v>0</v>
      </c>
      <c r="I342" s="155">
        <f t="shared" si="487"/>
        <v>0</v>
      </c>
      <c r="J342" s="155">
        <f t="shared" si="488"/>
        <v>0</v>
      </c>
      <c r="K342" s="155">
        <f t="shared" si="489"/>
        <v>0</v>
      </c>
      <c r="L342" s="155">
        <f t="shared" si="489"/>
        <v>0</v>
      </c>
      <c r="M342" s="155">
        <f t="shared" si="490"/>
        <v>0</v>
      </c>
      <c r="N342" s="172">
        <f t="shared" si="491"/>
        <v>0</v>
      </c>
      <c r="O342" s="155">
        <f t="shared" si="492"/>
        <v>0</v>
      </c>
      <c r="P342" s="155">
        <f t="shared" si="492"/>
        <v>0</v>
      </c>
      <c r="Q342" s="155">
        <f t="shared" si="493"/>
        <v>0</v>
      </c>
      <c r="R342" s="155">
        <f t="shared" si="494"/>
        <v>0</v>
      </c>
      <c r="S342" s="155">
        <f t="shared" si="494"/>
        <v>0</v>
      </c>
      <c r="T342" s="155">
        <f t="shared" si="503"/>
        <v>0</v>
      </c>
      <c r="U342" s="155">
        <f t="shared" si="495"/>
        <v>0</v>
      </c>
      <c r="V342" s="155">
        <f t="shared" si="495"/>
        <v>0</v>
      </c>
      <c r="W342" s="155">
        <f t="shared" si="496"/>
        <v>0</v>
      </c>
      <c r="X342" s="155">
        <f t="shared" si="497"/>
        <v>0</v>
      </c>
      <c r="Y342" s="155">
        <f t="shared" si="497"/>
        <v>0</v>
      </c>
      <c r="Z342" s="155">
        <f t="shared" si="498"/>
        <v>0</v>
      </c>
      <c r="AA342" s="172">
        <f t="shared" si="499"/>
        <v>0</v>
      </c>
      <c r="AB342" s="155">
        <f t="shared" si="500"/>
        <v>0</v>
      </c>
      <c r="AC342" s="155">
        <f t="shared" si="500"/>
        <v>0</v>
      </c>
      <c r="AD342" s="155">
        <f t="shared" si="504"/>
        <v>0</v>
      </c>
      <c r="AE342" s="155">
        <f t="shared" si="504"/>
        <v>0</v>
      </c>
      <c r="AF342" s="155">
        <f t="shared" si="504"/>
        <v>0</v>
      </c>
      <c r="AG342" s="155">
        <f t="shared" si="504"/>
        <v>0</v>
      </c>
      <c r="AH342" s="155">
        <f t="shared" si="504"/>
        <v>0</v>
      </c>
      <c r="AI342" s="155">
        <f t="shared" si="504"/>
        <v>0</v>
      </c>
      <c r="AJ342" s="155">
        <f t="shared" si="504"/>
        <v>0</v>
      </c>
      <c r="AK342" s="155">
        <f t="shared" si="504"/>
        <v>0</v>
      </c>
      <c r="AL342" s="155">
        <f t="shared" si="504"/>
        <v>0</v>
      </c>
      <c r="AM342" s="155">
        <f t="shared" si="504"/>
        <v>0</v>
      </c>
      <c r="AN342" s="172">
        <f t="shared" si="502"/>
        <v>0</v>
      </c>
      <c r="AO342" s="172"/>
    </row>
    <row r="343" spans="1:41" x14ac:dyDescent="0.15">
      <c r="A343" s="39" t="s">
        <v>300</v>
      </c>
      <c r="B343" s="39" t="s">
        <v>271</v>
      </c>
      <c r="G343" s="172"/>
      <c r="H343" s="155">
        <f t="shared" si="487"/>
        <v>0</v>
      </c>
      <c r="I343" s="155">
        <f t="shared" si="487"/>
        <v>0</v>
      </c>
      <c r="J343" s="155">
        <f t="shared" si="488"/>
        <v>0</v>
      </c>
      <c r="K343" s="155">
        <f t="shared" si="489"/>
        <v>0</v>
      </c>
      <c r="L343" s="155">
        <f t="shared" si="489"/>
        <v>0</v>
      </c>
      <c r="M343" s="155">
        <f t="shared" si="490"/>
        <v>0</v>
      </c>
      <c r="N343" s="172">
        <f t="shared" si="491"/>
        <v>0</v>
      </c>
      <c r="O343" s="155">
        <f t="shared" si="492"/>
        <v>0</v>
      </c>
      <c r="P343" s="155">
        <f t="shared" si="492"/>
        <v>0</v>
      </c>
      <c r="Q343" s="155">
        <f t="shared" si="493"/>
        <v>0</v>
      </c>
      <c r="R343" s="155">
        <f t="shared" si="494"/>
        <v>0</v>
      </c>
      <c r="S343" s="155">
        <f t="shared" si="494"/>
        <v>0</v>
      </c>
      <c r="T343" s="155">
        <f t="shared" si="503"/>
        <v>0</v>
      </c>
      <c r="U343" s="155">
        <f t="shared" si="495"/>
        <v>0</v>
      </c>
      <c r="V343" s="155">
        <f t="shared" si="495"/>
        <v>0</v>
      </c>
      <c r="W343" s="155">
        <f t="shared" si="496"/>
        <v>0</v>
      </c>
      <c r="X343" s="155">
        <f t="shared" si="497"/>
        <v>0</v>
      </c>
      <c r="Y343" s="155">
        <f t="shared" si="497"/>
        <v>0</v>
      </c>
      <c r="Z343" s="155">
        <f t="shared" si="498"/>
        <v>0</v>
      </c>
      <c r="AA343" s="172">
        <f t="shared" si="499"/>
        <v>0</v>
      </c>
      <c r="AB343" s="155">
        <f t="shared" si="500"/>
        <v>0</v>
      </c>
      <c r="AC343" s="155">
        <f t="shared" si="500"/>
        <v>0</v>
      </c>
      <c r="AD343" s="155">
        <f t="shared" si="504"/>
        <v>0</v>
      </c>
      <c r="AE343" s="155">
        <f t="shared" si="504"/>
        <v>0</v>
      </c>
      <c r="AF343" s="155">
        <f t="shared" si="504"/>
        <v>0</v>
      </c>
      <c r="AG343" s="155">
        <f t="shared" si="504"/>
        <v>0</v>
      </c>
      <c r="AH343" s="155">
        <f t="shared" si="504"/>
        <v>0</v>
      </c>
      <c r="AI343" s="155">
        <f t="shared" si="504"/>
        <v>0</v>
      </c>
      <c r="AJ343" s="155">
        <f t="shared" si="504"/>
        <v>0</v>
      </c>
      <c r="AK343" s="155">
        <f t="shared" si="504"/>
        <v>0</v>
      </c>
      <c r="AL343" s="155">
        <f t="shared" si="504"/>
        <v>0</v>
      </c>
      <c r="AM343" s="155">
        <f t="shared" si="504"/>
        <v>0</v>
      </c>
      <c r="AN343" s="172">
        <f t="shared" si="502"/>
        <v>0</v>
      </c>
      <c r="AO343" s="172"/>
    </row>
    <row r="344" spans="1:41" x14ac:dyDescent="0.15">
      <c r="A344" s="39" t="s">
        <v>59</v>
      </c>
      <c r="B344" s="39" t="s">
        <v>59</v>
      </c>
      <c r="G344" s="172"/>
      <c r="H344" s="155">
        <f t="shared" si="487"/>
        <v>0</v>
      </c>
      <c r="I344" s="155">
        <f t="shared" si="487"/>
        <v>0</v>
      </c>
      <c r="J344" s="155">
        <f t="shared" si="488"/>
        <v>0</v>
      </c>
      <c r="K344" s="155">
        <f t="shared" si="489"/>
        <v>0</v>
      </c>
      <c r="L344" s="155">
        <f t="shared" si="489"/>
        <v>0</v>
      </c>
      <c r="M344" s="155">
        <f t="shared" si="490"/>
        <v>0</v>
      </c>
      <c r="N344" s="172">
        <f t="shared" ref="N344:N354" si="505">100%-N295</f>
        <v>0</v>
      </c>
      <c r="O344" s="155">
        <f t="shared" si="492"/>
        <v>0</v>
      </c>
      <c r="P344" s="155">
        <f t="shared" si="492"/>
        <v>0</v>
      </c>
      <c r="Q344" s="155">
        <f t="shared" si="493"/>
        <v>0</v>
      </c>
      <c r="R344" s="155">
        <f t="shared" si="494"/>
        <v>0</v>
      </c>
      <c r="S344" s="155">
        <f t="shared" si="494"/>
        <v>0</v>
      </c>
      <c r="T344" s="155">
        <f t="shared" si="503"/>
        <v>0</v>
      </c>
      <c r="U344" s="155">
        <f t="shared" si="495"/>
        <v>0</v>
      </c>
      <c r="V344" s="155">
        <f t="shared" si="495"/>
        <v>0</v>
      </c>
      <c r="W344" s="155">
        <f t="shared" si="496"/>
        <v>0</v>
      </c>
      <c r="X344" s="155">
        <f t="shared" si="497"/>
        <v>0</v>
      </c>
      <c r="Y344" s="155">
        <f t="shared" si="497"/>
        <v>0</v>
      </c>
      <c r="Z344" s="155">
        <f t="shared" si="498"/>
        <v>0</v>
      </c>
      <c r="AA344" s="172">
        <f t="shared" ref="AA344:AA354" si="506">100%-AA295</f>
        <v>0</v>
      </c>
      <c r="AB344" s="155">
        <f t="shared" si="500"/>
        <v>0</v>
      </c>
      <c r="AC344" s="155">
        <f t="shared" si="500"/>
        <v>0</v>
      </c>
      <c r="AD344" s="155">
        <f t="shared" si="504"/>
        <v>0</v>
      </c>
      <c r="AE344" s="155">
        <f t="shared" si="504"/>
        <v>0</v>
      </c>
      <c r="AF344" s="155">
        <f t="shared" si="504"/>
        <v>0</v>
      </c>
      <c r="AG344" s="155">
        <f t="shared" si="504"/>
        <v>0</v>
      </c>
      <c r="AH344" s="155">
        <f t="shared" si="504"/>
        <v>0</v>
      </c>
      <c r="AI344" s="155">
        <f t="shared" si="504"/>
        <v>0</v>
      </c>
      <c r="AJ344" s="155">
        <f t="shared" si="504"/>
        <v>0</v>
      </c>
      <c r="AK344" s="155">
        <f t="shared" si="504"/>
        <v>0</v>
      </c>
      <c r="AL344" s="155">
        <f t="shared" si="504"/>
        <v>0</v>
      </c>
      <c r="AM344" s="155">
        <f t="shared" si="504"/>
        <v>0</v>
      </c>
      <c r="AN344" s="172">
        <f t="shared" ref="AN344:AN354" si="507">100%-AN295</f>
        <v>0</v>
      </c>
      <c r="AO344" s="172"/>
    </row>
    <row r="345" spans="1:41" x14ac:dyDescent="0.15">
      <c r="A345" s="39" t="s">
        <v>53</v>
      </c>
      <c r="B345" s="39" t="s">
        <v>53</v>
      </c>
      <c r="G345" s="172"/>
      <c r="H345" s="155">
        <f t="shared" si="487"/>
        <v>0</v>
      </c>
      <c r="I345" s="155">
        <f t="shared" si="487"/>
        <v>0</v>
      </c>
      <c r="J345" s="155">
        <f t="shared" si="488"/>
        <v>19577.633403225002</v>
      </c>
      <c r="K345" s="155">
        <f t="shared" si="489"/>
        <v>0</v>
      </c>
      <c r="L345" s="155">
        <f t="shared" si="489"/>
        <v>0</v>
      </c>
      <c r="M345" s="155">
        <f t="shared" si="490"/>
        <v>19577.633403225002</v>
      </c>
      <c r="N345" s="172">
        <f t="shared" si="505"/>
        <v>0.89</v>
      </c>
      <c r="O345" s="155">
        <f t="shared" si="492"/>
        <v>0</v>
      </c>
      <c r="P345" s="155">
        <f t="shared" si="492"/>
        <v>0</v>
      </c>
      <c r="Q345" s="155">
        <f t="shared" si="493"/>
        <v>-25478.053326899997</v>
      </c>
      <c r="R345" s="155">
        <f t="shared" si="494"/>
        <v>0</v>
      </c>
      <c r="S345" s="155">
        <f t="shared" si="494"/>
        <v>0</v>
      </c>
      <c r="T345" s="155">
        <f t="shared" si="503"/>
        <v>-25478.053326899997</v>
      </c>
      <c r="U345" s="155">
        <f t="shared" si="495"/>
        <v>0</v>
      </c>
      <c r="V345" s="155">
        <f t="shared" si="495"/>
        <v>0</v>
      </c>
      <c r="W345" s="155">
        <f t="shared" si="496"/>
        <v>-25478.053326899997</v>
      </c>
      <c r="X345" s="155">
        <f t="shared" si="497"/>
        <v>0</v>
      </c>
      <c r="Y345" s="155">
        <f t="shared" si="497"/>
        <v>0</v>
      </c>
      <c r="Z345" s="155">
        <f t="shared" si="498"/>
        <v>-25478.053326899997</v>
      </c>
      <c r="AA345" s="172">
        <f t="shared" si="506"/>
        <v>0.89</v>
      </c>
      <c r="AB345" s="155">
        <f t="shared" si="500"/>
        <v>0</v>
      </c>
      <c r="AC345" s="155">
        <f t="shared" si="500"/>
        <v>0</v>
      </c>
      <c r="AD345" s="155">
        <f t="shared" si="504"/>
        <v>0</v>
      </c>
      <c r="AE345" s="155">
        <f t="shared" si="504"/>
        <v>0</v>
      </c>
      <c r="AF345" s="155">
        <f t="shared" si="504"/>
        <v>0</v>
      </c>
      <c r="AG345" s="155">
        <f t="shared" si="504"/>
        <v>0</v>
      </c>
      <c r="AH345" s="155">
        <f t="shared" si="504"/>
        <v>0</v>
      </c>
      <c r="AI345" s="155">
        <f t="shared" si="504"/>
        <v>0</v>
      </c>
      <c r="AJ345" s="155">
        <f t="shared" si="504"/>
        <v>0</v>
      </c>
      <c r="AK345" s="155">
        <f t="shared" si="504"/>
        <v>0</v>
      </c>
      <c r="AL345" s="155">
        <f t="shared" si="504"/>
        <v>0</v>
      </c>
      <c r="AM345" s="155">
        <f t="shared" si="504"/>
        <v>0</v>
      </c>
      <c r="AN345" s="172">
        <f t="shared" si="507"/>
        <v>0.89</v>
      </c>
      <c r="AO345" s="172"/>
    </row>
    <row r="346" spans="1:41" x14ac:dyDescent="0.15">
      <c r="A346" s="39" t="s">
        <v>303</v>
      </c>
      <c r="B346" s="39" t="s">
        <v>60</v>
      </c>
      <c r="G346" s="172"/>
      <c r="H346" s="155">
        <f t="shared" si="487"/>
        <v>0</v>
      </c>
      <c r="I346" s="155">
        <f t="shared" si="487"/>
        <v>0</v>
      </c>
      <c r="J346" s="155">
        <f t="shared" si="488"/>
        <v>36727.430085700034</v>
      </c>
      <c r="K346" s="155">
        <f t="shared" si="489"/>
        <v>0</v>
      </c>
      <c r="L346" s="155">
        <f t="shared" si="489"/>
        <v>0</v>
      </c>
      <c r="M346" s="155">
        <f t="shared" si="490"/>
        <v>36727.430085700034</v>
      </c>
      <c r="N346" s="172">
        <f t="shared" si="505"/>
        <v>0.1784</v>
      </c>
      <c r="O346" s="155">
        <f t="shared" si="492"/>
        <v>0</v>
      </c>
      <c r="P346" s="155">
        <f t="shared" si="492"/>
        <v>0</v>
      </c>
      <c r="Q346" s="155">
        <f t="shared" si="493"/>
        <v>33615.646674600051</v>
      </c>
      <c r="R346" s="155">
        <f t="shared" si="494"/>
        <v>0</v>
      </c>
      <c r="S346" s="155">
        <f t="shared" si="494"/>
        <v>0</v>
      </c>
      <c r="T346" s="155">
        <f t="shared" si="503"/>
        <v>33615.646674600051</v>
      </c>
      <c r="U346" s="155">
        <f t="shared" si="495"/>
        <v>0</v>
      </c>
      <c r="V346" s="155">
        <f t="shared" si="495"/>
        <v>0</v>
      </c>
      <c r="W346" s="155">
        <f t="shared" si="496"/>
        <v>33615.646674600051</v>
      </c>
      <c r="X346" s="155">
        <f t="shared" si="497"/>
        <v>0</v>
      </c>
      <c r="Y346" s="155">
        <f t="shared" si="497"/>
        <v>0</v>
      </c>
      <c r="Z346" s="155">
        <f t="shared" si="498"/>
        <v>33615.646674600051</v>
      </c>
      <c r="AA346" s="172">
        <f t="shared" si="506"/>
        <v>0.1784</v>
      </c>
      <c r="AB346" s="155">
        <f t="shared" si="500"/>
        <v>0</v>
      </c>
      <c r="AC346" s="155">
        <f t="shared" si="500"/>
        <v>0</v>
      </c>
      <c r="AD346" s="155">
        <f t="shared" si="504"/>
        <v>33216.351415500001</v>
      </c>
      <c r="AE346" s="155">
        <f t="shared" si="504"/>
        <v>0</v>
      </c>
      <c r="AF346" s="155">
        <f t="shared" si="504"/>
        <v>0</v>
      </c>
      <c r="AG346" s="155">
        <f t="shared" si="504"/>
        <v>33216.351415500001</v>
      </c>
      <c r="AH346" s="155">
        <f t="shared" si="504"/>
        <v>0</v>
      </c>
      <c r="AI346" s="155">
        <f t="shared" si="504"/>
        <v>0</v>
      </c>
      <c r="AJ346" s="155">
        <f t="shared" si="504"/>
        <v>33216.351415500001</v>
      </c>
      <c r="AK346" s="155">
        <f t="shared" si="504"/>
        <v>0</v>
      </c>
      <c r="AL346" s="155">
        <f t="shared" si="504"/>
        <v>0</v>
      </c>
      <c r="AM346" s="155">
        <f t="shared" si="504"/>
        <v>33216.351415500001</v>
      </c>
      <c r="AN346" s="172">
        <f t="shared" si="507"/>
        <v>0.1784</v>
      </c>
      <c r="AO346" s="172"/>
    </row>
    <row r="347" spans="1:41" x14ac:dyDescent="0.15">
      <c r="A347" s="39" t="s">
        <v>304</v>
      </c>
      <c r="B347" s="39" t="s">
        <v>60</v>
      </c>
      <c r="G347" s="172"/>
      <c r="H347" s="155">
        <f t="shared" si="487"/>
        <v>0</v>
      </c>
      <c r="I347" s="155">
        <f t="shared" si="487"/>
        <v>0</v>
      </c>
      <c r="J347" s="155">
        <f t="shared" si="488"/>
        <v>-70589.087951900001</v>
      </c>
      <c r="K347" s="155">
        <f t="shared" si="489"/>
        <v>0</v>
      </c>
      <c r="L347" s="155">
        <f t="shared" si="489"/>
        <v>0</v>
      </c>
      <c r="M347" s="155">
        <f t="shared" si="490"/>
        <v>-70589.087951900001</v>
      </c>
      <c r="N347" s="172">
        <f t="shared" si="505"/>
        <v>0.1784</v>
      </c>
      <c r="O347" s="155">
        <f t="shared" si="492"/>
        <v>0</v>
      </c>
      <c r="P347" s="155">
        <f t="shared" si="492"/>
        <v>0</v>
      </c>
      <c r="Q347" s="155">
        <f t="shared" si="493"/>
        <v>-72563.642678400007</v>
      </c>
      <c r="R347" s="155">
        <f t="shared" si="494"/>
        <v>0</v>
      </c>
      <c r="S347" s="155">
        <f t="shared" si="494"/>
        <v>0</v>
      </c>
      <c r="T347" s="155">
        <f t="shared" si="503"/>
        <v>-72563.642678400007</v>
      </c>
      <c r="U347" s="155">
        <f t="shared" si="495"/>
        <v>0</v>
      </c>
      <c r="V347" s="155">
        <f t="shared" si="495"/>
        <v>0</v>
      </c>
      <c r="W347" s="155">
        <f t="shared" si="496"/>
        <v>-72563.642678400007</v>
      </c>
      <c r="X347" s="155">
        <f t="shared" si="497"/>
        <v>0</v>
      </c>
      <c r="Y347" s="155">
        <f t="shared" si="497"/>
        <v>0</v>
      </c>
      <c r="Z347" s="155">
        <f t="shared" si="498"/>
        <v>-72563.642678400007</v>
      </c>
      <c r="AA347" s="172">
        <f t="shared" si="506"/>
        <v>0.1784</v>
      </c>
      <c r="AB347" s="155">
        <f t="shared" si="500"/>
        <v>0</v>
      </c>
      <c r="AC347" s="155">
        <f t="shared" si="500"/>
        <v>0</v>
      </c>
      <c r="AD347" s="155">
        <f t="shared" si="504"/>
        <v>-73517.998741200005</v>
      </c>
      <c r="AE347" s="155">
        <f t="shared" si="504"/>
        <v>0</v>
      </c>
      <c r="AF347" s="155">
        <f t="shared" si="504"/>
        <v>0</v>
      </c>
      <c r="AG347" s="155">
        <f t="shared" si="504"/>
        <v>-73517.998741200005</v>
      </c>
      <c r="AH347" s="155">
        <f t="shared" si="504"/>
        <v>0</v>
      </c>
      <c r="AI347" s="155">
        <f t="shared" si="504"/>
        <v>0</v>
      </c>
      <c r="AJ347" s="155">
        <f t="shared" si="504"/>
        <v>-73517.998741200005</v>
      </c>
      <c r="AK347" s="155">
        <f t="shared" si="504"/>
        <v>0</v>
      </c>
      <c r="AL347" s="155">
        <f t="shared" si="504"/>
        <v>0</v>
      </c>
      <c r="AM347" s="155">
        <f t="shared" si="504"/>
        <v>-73517.998741200005</v>
      </c>
      <c r="AN347" s="172">
        <f t="shared" si="507"/>
        <v>0.1784</v>
      </c>
      <c r="AO347" s="172"/>
    </row>
    <row r="348" spans="1:41" x14ac:dyDescent="0.15">
      <c r="A348" s="39" t="s">
        <v>41</v>
      </c>
      <c r="B348" s="39" t="s">
        <v>41</v>
      </c>
      <c r="G348" s="172"/>
      <c r="H348" s="155">
        <f t="shared" si="487"/>
        <v>0</v>
      </c>
      <c r="I348" s="155">
        <f t="shared" si="487"/>
        <v>0</v>
      </c>
      <c r="J348" s="155">
        <f t="shared" si="488"/>
        <v>11338.832417443036</v>
      </c>
      <c r="K348" s="155">
        <f t="shared" si="489"/>
        <v>0</v>
      </c>
      <c r="L348" s="155">
        <f t="shared" si="489"/>
        <v>0</v>
      </c>
      <c r="M348" s="155">
        <f t="shared" si="490"/>
        <v>11338.832417443036</v>
      </c>
      <c r="N348" s="172">
        <f t="shared" si="505"/>
        <v>0.1784</v>
      </c>
      <c r="O348" s="155">
        <f t="shared" si="492"/>
        <v>0</v>
      </c>
      <c r="P348" s="155">
        <f t="shared" si="492"/>
        <v>0</v>
      </c>
      <c r="Q348" s="155">
        <f t="shared" si="493"/>
        <v>11411.429420966013</v>
      </c>
      <c r="R348" s="155">
        <f t="shared" si="494"/>
        <v>0</v>
      </c>
      <c r="S348" s="155">
        <f t="shared" si="494"/>
        <v>0</v>
      </c>
      <c r="T348" s="155">
        <f t="shared" si="503"/>
        <v>11411.429420966013</v>
      </c>
      <c r="U348" s="155">
        <f t="shared" si="495"/>
        <v>0</v>
      </c>
      <c r="V348" s="155">
        <f t="shared" si="495"/>
        <v>0</v>
      </c>
      <c r="W348" s="155">
        <f t="shared" si="496"/>
        <v>11411.429420966013</v>
      </c>
      <c r="X348" s="155">
        <f t="shared" si="497"/>
        <v>0</v>
      </c>
      <c r="Y348" s="155">
        <f t="shared" si="497"/>
        <v>0</v>
      </c>
      <c r="Z348" s="155">
        <f t="shared" si="498"/>
        <v>11411.429420966013</v>
      </c>
      <c r="AA348" s="172">
        <f t="shared" si="506"/>
        <v>0.1784</v>
      </c>
      <c r="AB348" s="155">
        <f t="shared" si="500"/>
        <v>0</v>
      </c>
      <c r="AC348" s="155">
        <f t="shared" si="500"/>
        <v>0</v>
      </c>
      <c r="AD348" s="155">
        <f t="shared" si="504"/>
        <v>8651.4056054974935</v>
      </c>
      <c r="AE348" s="155">
        <f t="shared" si="504"/>
        <v>0</v>
      </c>
      <c r="AF348" s="155">
        <f t="shared" si="504"/>
        <v>0</v>
      </c>
      <c r="AG348" s="155">
        <f t="shared" si="504"/>
        <v>8651.4056054974935</v>
      </c>
      <c r="AH348" s="155">
        <f t="shared" si="504"/>
        <v>0</v>
      </c>
      <c r="AI348" s="155">
        <f t="shared" si="504"/>
        <v>0</v>
      </c>
      <c r="AJ348" s="155">
        <f t="shared" si="504"/>
        <v>8651.4056054974935</v>
      </c>
      <c r="AK348" s="155">
        <f t="shared" si="504"/>
        <v>0</v>
      </c>
      <c r="AL348" s="155">
        <f t="shared" si="504"/>
        <v>0</v>
      </c>
      <c r="AM348" s="155">
        <f t="shared" si="504"/>
        <v>8651.4056054974935</v>
      </c>
      <c r="AN348" s="172">
        <f t="shared" si="507"/>
        <v>0.1784</v>
      </c>
      <c r="AO348" s="172"/>
    </row>
    <row r="349" spans="1:41" x14ac:dyDescent="0.15">
      <c r="A349" s="39" t="s">
        <v>70</v>
      </c>
      <c r="B349" s="39" t="s">
        <v>70</v>
      </c>
      <c r="G349" s="172"/>
      <c r="H349" s="155">
        <f t="shared" si="487"/>
        <v>0</v>
      </c>
      <c r="I349" s="155">
        <f t="shared" si="487"/>
        <v>0</v>
      </c>
      <c r="J349" s="155">
        <f t="shared" si="488"/>
        <v>0</v>
      </c>
      <c r="K349" s="155">
        <f t="shared" si="489"/>
        <v>0</v>
      </c>
      <c r="L349" s="155">
        <f t="shared" si="489"/>
        <v>0</v>
      </c>
      <c r="M349" s="155">
        <f t="shared" si="490"/>
        <v>0</v>
      </c>
      <c r="N349" s="172">
        <f t="shared" si="505"/>
        <v>0</v>
      </c>
      <c r="O349" s="155">
        <f t="shared" si="492"/>
        <v>0</v>
      </c>
      <c r="P349" s="155">
        <f t="shared" si="492"/>
        <v>0</v>
      </c>
      <c r="Q349" s="155">
        <f t="shared" si="493"/>
        <v>0</v>
      </c>
      <c r="R349" s="155">
        <f t="shared" si="494"/>
        <v>0</v>
      </c>
      <c r="S349" s="155">
        <f t="shared" si="494"/>
        <v>0</v>
      </c>
      <c r="T349" s="155">
        <f t="shared" si="503"/>
        <v>0</v>
      </c>
      <c r="U349" s="155">
        <f t="shared" si="495"/>
        <v>0</v>
      </c>
      <c r="V349" s="155">
        <f t="shared" si="495"/>
        <v>0</v>
      </c>
      <c r="W349" s="155">
        <f t="shared" si="496"/>
        <v>0</v>
      </c>
      <c r="X349" s="155">
        <f t="shared" si="497"/>
        <v>0</v>
      </c>
      <c r="Y349" s="155">
        <f t="shared" si="497"/>
        <v>0</v>
      </c>
      <c r="Z349" s="155">
        <f t="shared" si="498"/>
        <v>0</v>
      </c>
      <c r="AA349" s="172">
        <f t="shared" si="506"/>
        <v>0</v>
      </c>
      <c r="AB349" s="155">
        <f t="shared" si="500"/>
        <v>0</v>
      </c>
      <c r="AC349" s="155">
        <f t="shared" si="500"/>
        <v>0</v>
      </c>
      <c r="AD349" s="155">
        <f t="shared" si="504"/>
        <v>0</v>
      </c>
      <c r="AE349" s="155">
        <f t="shared" si="504"/>
        <v>0</v>
      </c>
      <c r="AF349" s="155">
        <f t="shared" si="504"/>
        <v>0</v>
      </c>
      <c r="AG349" s="155">
        <f t="shared" si="504"/>
        <v>0</v>
      </c>
      <c r="AH349" s="155">
        <f t="shared" si="504"/>
        <v>0</v>
      </c>
      <c r="AI349" s="155">
        <f t="shared" si="504"/>
        <v>0</v>
      </c>
      <c r="AJ349" s="155">
        <f t="shared" si="504"/>
        <v>0</v>
      </c>
      <c r="AK349" s="155">
        <f t="shared" si="504"/>
        <v>0</v>
      </c>
      <c r="AL349" s="155">
        <f t="shared" si="504"/>
        <v>0</v>
      </c>
      <c r="AM349" s="155">
        <f t="shared" si="504"/>
        <v>0</v>
      </c>
      <c r="AN349" s="172">
        <f t="shared" si="507"/>
        <v>0</v>
      </c>
      <c r="AO349" s="172"/>
    </row>
    <row r="350" spans="1:41" x14ac:dyDescent="0.15">
      <c r="A350" s="39" t="s">
        <v>305</v>
      </c>
      <c r="B350" s="39" t="s">
        <v>65</v>
      </c>
      <c r="G350" s="172"/>
      <c r="H350" s="155">
        <f t="shared" si="487"/>
        <v>0</v>
      </c>
      <c r="I350" s="155">
        <f t="shared" si="487"/>
        <v>0</v>
      </c>
      <c r="J350" s="155">
        <f t="shared" si="488"/>
        <v>20301.092159016793</v>
      </c>
      <c r="K350" s="155">
        <f t="shared" si="489"/>
        <v>0</v>
      </c>
      <c r="L350" s="155">
        <f t="shared" si="489"/>
        <v>0</v>
      </c>
      <c r="M350" s="155">
        <f t="shared" si="490"/>
        <v>20301.092159016793</v>
      </c>
      <c r="N350" s="172">
        <f t="shared" si="505"/>
        <v>0.1784</v>
      </c>
      <c r="O350" s="155">
        <f t="shared" si="492"/>
        <v>0</v>
      </c>
      <c r="P350" s="155">
        <f t="shared" si="492"/>
        <v>0</v>
      </c>
      <c r="Q350" s="155">
        <f t="shared" si="493"/>
        <v>-8596.139083272783</v>
      </c>
      <c r="R350" s="155">
        <f t="shared" si="494"/>
        <v>0</v>
      </c>
      <c r="S350" s="155">
        <f t="shared" si="494"/>
        <v>0</v>
      </c>
      <c r="T350" s="155">
        <f t="shared" si="503"/>
        <v>-8596.139083272783</v>
      </c>
      <c r="U350" s="155">
        <f t="shared" si="495"/>
        <v>0</v>
      </c>
      <c r="V350" s="155">
        <f t="shared" si="495"/>
        <v>0</v>
      </c>
      <c r="W350" s="155">
        <f t="shared" si="496"/>
        <v>-8596.139083272783</v>
      </c>
      <c r="X350" s="155">
        <f t="shared" si="497"/>
        <v>0</v>
      </c>
      <c r="Y350" s="155">
        <f t="shared" si="497"/>
        <v>0</v>
      </c>
      <c r="Z350" s="155">
        <f t="shared" si="498"/>
        <v>-8596.139083272783</v>
      </c>
      <c r="AA350" s="172">
        <f t="shared" si="506"/>
        <v>0.1784</v>
      </c>
      <c r="AB350" s="155">
        <f t="shared" si="500"/>
        <v>0</v>
      </c>
      <c r="AC350" s="155">
        <f t="shared" si="500"/>
        <v>0</v>
      </c>
      <c r="AD350" s="155">
        <f t="shared" si="504"/>
        <v>-21584.372608776248</v>
      </c>
      <c r="AE350" s="155">
        <f t="shared" si="504"/>
        <v>0</v>
      </c>
      <c r="AF350" s="155">
        <f t="shared" si="504"/>
        <v>0</v>
      </c>
      <c r="AG350" s="155">
        <f t="shared" si="504"/>
        <v>-21584.372608776248</v>
      </c>
      <c r="AH350" s="155">
        <f t="shared" si="504"/>
        <v>0</v>
      </c>
      <c r="AI350" s="155">
        <f t="shared" si="504"/>
        <v>0</v>
      </c>
      <c r="AJ350" s="155">
        <f t="shared" si="504"/>
        <v>-21584.372608776248</v>
      </c>
      <c r="AK350" s="155">
        <f t="shared" si="504"/>
        <v>0</v>
      </c>
      <c r="AL350" s="155">
        <f t="shared" si="504"/>
        <v>0</v>
      </c>
      <c r="AM350" s="155">
        <f t="shared" si="504"/>
        <v>-21584.372608776248</v>
      </c>
      <c r="AN350" s="172">
        <f t="shared" si="507"/>
        <v>0.1784</v>
      </c>
      <c r="AO350" s="172"/>
    </row>
    <row r="351" spans="1:41" x14ac:dyDescent="0.15">
      <c r="A351" s="39" t="s">
        <v>306</v>
      </c>
      <c r="B351" s="39" t="s">
        <v>65</v>
      </c>
      <c r="G351" s="172"/>
      <c r="H351" s="155">
        <f t="shared" si="487"/>
        <v>0</v>
      </c>
      <c r="I351" s="155">
        <f t="shared" si="487"/>
        <v>0</v>
      </c>
      <c r="J351" s="155">
        <f t="shared" si="488"/>
        <v>-7237.0443550999998</v>
      </c>
      <c r="K351" s="155">
        <f t="shared" si="489"/>
        <v>0</v>
      </c>
      <c r="L351" s="155">
        <f t="shared" si="489"/>
        <v>0</v>
      </c>
      <c r="M351" s="155">
        <f t="shared" si="490"/>
        <v>-7237.0443550999998</v>
      </c>
      <c r="N351" s="172">
        <f t="shared" si="505"/>
        <v>0.1784</v>
      </c>
      <c r="O351" s="155">
        <f t="shared" si="492"/>
        <v>0</v>
      </c>
      <c r="P351" s="155">
        <f t="shared" si="492"/>
        <v>0</v>
      </c>
      <c r="Q351" s="155">
        <f t="shared" si="493"/>
        <v>0</v>
      </c>
      <c r="R351" s="155">
        <f t="shared" si="494"/>
        <v>0</v>
      </c>
      <c r="S351" s="155">
        <f t="shared" si="494"/>
        <v>0</v>
      </c>
      <c r="T351" s="155">
        <f t="shared" si="503"/>
        <v>0</v>
      </c>
      <c r="U351" s="155">
        <f t="shared" si="495"/>
        <v>0</v>
      </c>
      <c r="V351" s="155">
        <f t="shared" si="495"/>
        <v>0</v>
      </c>
      <c r="W351" s="155">
        <f t="shared" si="496"/>
        <v>0</v>
      </c>
      <c r="X351" s="155">
        <f t="shared" si="497"/>
        <v>0</v>
      </c>
      <c r="Y351" s="155">
        <f t="shared" si="497"/>
        <v>0</v>
      </c>
      <c r="Z351" s="155">
        <f t="shared" si="498"/>
        <v>0</v>
      </c>
      <c r="AA351" s="172">
        <f t="shared" si="506"/>
        <v>0.1784</v>
      </c>
      <c r="AB351" s="155">
        <f t="shared" si="500"/>
        <v>0</v>
      </c>
      <c r="AC351" s="155">
        <f t="shared" si="500"/>
        <v>0</v>
      </c>
      <c r="AD351" s="155">
        <f t="shared" si="504"/>
        <v>0</v>
      </c>
      <c r="AE351" s="155">
        <f t="shared" si="504"/>
        <v>0</v>
      </c>
      <c r="AF351" s="155">
        <f t="shared" si="504"/>
        <v>0</v>
      </c>
      <c r="AG351" s="155">
        <f t="shared" si="504"/>
        <v>0</v>
      </c>
      <c r="AH351" s="155">
        <f t="shared" si="504"/>
        <v>0</v>
      </c>
      <c r="AI351" s="155">
        <f t="shared" si="504"/>
        <v>0</v>
      </c>
      <c r="AJ351" s="155">
        <f t="shared" si="504"/>
        <v>0</v>
      </c>
      <c r="AK351" s="155">
        <f t="shared" si="504"/>
        <v>0</v>
      </c>
      <c r="AL351" s="155">
        <f t="shared" si="504"/>
        <v>0</v>
      </c>
      <c r="AM351" s="155">
        <f t="shared" si="504"/>
        <v>0</v>
      </c>
      <c r="AN351" s="172">
        <f t="shared" si="507"/>
        <v>0.1784</v>
      </c>
      <c r="AO351" s="172"/>
    </row>
    <row r="352" spans="1:41" x14ac:dyDescent="0.15">
      <c r="A352" s="39" t="s">
        <v>75</v>
      </c>
      <c r="B352" s="39" t="s">
        <v>75</v>
      </c>
      <c r="G352" s="172"/>
      <c r="H352" s="155">
        <f t="shared" si="487"/>
        <v>0</v>
      </c>
      <c r="I352" s="155">
        <f t="shared" si="487"/>
        <v>0</v>
      </c>
      <c r="J352" s="155">
        <f t="shared" si="488"/>
        <v>-8869.7283965195966</v>
      </c>
      <c r="K352" s="155">
        <f t="shared" si="489"/>
        <v>0</v>
      </c>
      <c r="L352" s="155">
        <f t="shared" si="489"/>
        <v>0</v>
      </c>
      <c r="M352" s="155">
        <f t="shared" si="490"/>
        <v>-8869.7283965195966</v>
      </c>
      <c r="N352" s="172">
        <f t="shared" si="505"/>
        <v>0.1784</v>
      </c>
      <c r="O352" s="155">
        <f t="shared" si="492"/>
        <v>0</v>
      </c>
      <c r="P352" s="155">
        <f t="shared" si="492"/>
        <v>0</v>
      </c>
      <c r="Q352" s="155">
        <f t="shared" si="493"/>
        <v>5317.3717022473011</v>
      </c>
      <c r="R352" s="155">
        <f t="shared" si="494"/>
        <v>0</v>
      </c>
      <c r="S352" s="155">
        <f t="shared" si="494"/>
        <v>0</v>
      </c>
      <c r="T352" s="155">
        <f t="shared" si="503"/>
        <v>5317.3717022473011</v>
      </c>
      <c r="U352" s="155">
        <f t="shared" si="495"/>
        <v>0</v>
      </c>
      <c r="V352" s="155">
        <f t="shared" si="495"/>
        <v>0</v>
      </c>
      <c r="W352" s="155">
        <f t="shared" si="496"/>
        <v>5317.3717022473011</v>
      </c>
      <c r="X352" s="155">
        <f t="shared" si="497"/>
        <v>0</v>
      </c>
      <c r="Y352" s="155">
        <f t="shared" si="497"/>
        <v>0</v>
      </c>
      <c r="Z352" s="155">
        <f t="shared" si="498"/>
        <v>5317.3717022473011</v>
      </c>
      <c r="AA352" s="172">
        <f t="shared" si="506"/>
        <v>0.1784</v>
      </c>
      <c r="AB352" s="155">
        <f t="shared" si="500"/>
        <v>0</v>
      </c>
      <c r="AC352" s="155">
        <f t="shared" si="500"/>
        <v>0</v>
      </c>
      <c r="AD352" s="155">
        <f t="shared" si="504"/>
        <v>11569.420365231506</v>
      </c>
      <c r="AE352" s="155">
        <f t="shared" si="504"/>
        <v>0</v>
      </c>
      <c r="AF352" s="155">
        <f t="shared" si="504"/>
        <v>0</v>
      </c>
      <c r="AG352" s="155">
        <f t="shared" si="504"/>
        <v>11569.420365231506</v>
      </c>
      <c r="AH352" s="155">
        <f t="shared" si="504"/>
        <v>0</v>
      </c>
      <c r="AI352" s="155">
        <f t="shared" si="504"/>
        <v>0</v>
      </c>
      <c r="AJ352" s="155">
        <f t="shared" si="504"/>
        <v>11569.420365231506</v>
      </c>
      <c r="AK352" s="155">
        <f t="shared" si="504"/>
        <v>0</v>
      </c>
      <c r="AL352" s="155">
        <f t="shared" si="504"/>
        <v>0</v>
      </c>
      <c r="AM352" s="155">
        <f t="shared" si="504"/>
        <v>11569.420365231506</v>
      </c>
      <c r="AN352" s="172">
        <f t="shared" si="507"/>
        <v>0.1784</v>
      </c>
      <c r="AO352" s="172"/>
    </row>
    <row r="353" spans="1:41" x14ac:dyDescent="0.15">
      <c r="A353" s="39" t="s">
        <v>38</v>
      </c>
      <c r="B353" s="39" t="s">
        <v>38</v>
      </c>
      <c r="G353" s="172"/>
      <c r="H353" s="155">
        <f t="shared" si="487"/>
        <v>0</v>
      </c>
      <c r="I353" s="155">
        <f t="shared" si="487"/>
        <v>0</v>
      </c>
      <c r="J353" s="155">
        <f t="shared" si="488"/>
        <v>1297.0031298944725</v>
      </c>
      <c r="K353" s="155">
        <f t="shared" si="489"/>
        <v>0</v>
      </c>
      <c r="L353" s="155">
        <f t="shared" si="489"/>
        <v>0</v>
      </c>
      <c r="M353" s="155">
        <f t="shared" si="490"/>
        <v>1297.0031298944725</v>
      </c>
      <c r="N353" s="172">
        <f t="shared" si="505"/>
        <v>4.7432483723318652E-3</v>
      </c>
      <c r="O353" s="155">
        <f t="shared" si="492"/>
        <v>0</v>
      </c>
      <c r="P353" s="155">
        <f t="shared" si="492"/>
        <v>0</v>
      </c>
      <c r="Q353" s="155">
        <f t="shared" si="493"/>
        <v>931.18179451451874</v>
      </c>
      <c r="R353" s="155">
        <f t="shared" si="494"/>
        <v>0</v>
      </c>
      <c r="S353" s="155">
        <f t="shared" si="494"/>
        <v>0</v>
      </c>
      <c r="T353" s="155">
        <f t="shared" si="503"/>
        <v>931.18179451451874</v>
      </c>
      <c r="U353" s="155">
        <f t="shared" si="495"/>
        <v>0</v>
      </c>
      <c r="V353" s="155">
        <f t="shared" si="495"/>
        <v>0</v>
      </c>
      <c r="W353" s="155">
        <f t="shared" si="496"/>
        <v>931.18179451451874</v>
      </c>
      <c r="X353" s="155">
        <f t="shared" si="497"/>
        <v>0</v>
      </c>
      <c r="Y353" s="155">
        <f t="shared" si="497"/>
        <v>0</v>
      </c>
      <c r="Z353" s="155">
        <f t="shared" si="498"/>
        <v>931.18179451451874</v>
      </c>
      <c r="AA353" s="172">
        <f t="shared" si="506"/>
        <v>4.7432483723318652E-3</v>
      </c>
      <c r="AB353" s="155">
        <f t="shared" si="500"/>
        <v>0</v>
      </c>
      <c r="AC353" s="155">
        <f t="shared" si="500"/>
        <v>0</v>
      </c>
      <c r="AD353" s="155">
        <f t="shared" si="504"/>
        <v>748.27112801051794</v>
      </c>
      <c r="AE353" s="155">
        <f t="shared" si="504"/>
        <v>0</v>
      </c>
      <c r="AF353" s="155">
        <f t="shared" si="504"/>
        <v>0</v>
      </c>
      <c r="AG353" s="155">
        <f t="shared" si="504"/>
        <v>748.27112801051794</v>
      </c>
      <c r="AH353" s="155">
        <f t="shared" si="504"/>
        <v>0</v>
      </c>
      <c r="AI353" s="155">
        <f t="shared" si="504"/>
        <v>0</v>
      </c>
      <c r="AJ353" s="155">
        <f t="shared" si="504"/>
        <v>748.27112801051794</v>
      </c>
      <c r="AK353" s="155">
        <f t="shared" si="504"/>
        <v>0</v>
      </c>
      <c r="AL353" s="155">
        <f t="shared" si="504"/>
        <v>0</v>
      </c>
      <c r="AM353" s="155">
        <f t="shared" si="504"/>
        <v>748.27112801051794</v>
      </c>
      <c r="AN353" s="172">
        <f t="shared" si="507"/>
        <v>4.7432483723318652E-3</v>
      </c>
      <c r="AO353" s="172"/>
    </row>
    <row r="354" spans="1:41" x14ac:dyDescent="0.15">
      <c r="A354" s="39" t="s">
        <v>80</v>
      </c>
      <c r="B354" s="39" t="s">
        <v>80</v>
      </c>
      <c r="G354" s="172"/>
      <c r="H354" s="155">
        <f t="shared" si="487"/>
        <v>0</v>
      </c>
      <c r="I354" s="155">
        <f t="shared" si="487"/>
        <v>0</v>
      </c>
      <c r="J354" s="155">
        <f t="shared" si="488"/>
        <v>-355698.92515106103</v>
      </c>
      <c r="K354" s="155">
        <f t="shared" si="489"/>
        <v>0</v>
      </c>
      <c r="L354" s="155">
        <f t="shared" si="489"/>
        <v>0</v>
      </c>
      <c r="M354" s="155">
        <f t="shared" si="490"/>
        <v>-355698.92515106103</v>
      </c>
      <c r="N354" s="172">
        <f t="shared" si="505"/>
        <v>0.19008626594579081</v>
      </c>
      <c r="O354" s="155">
        <f t="shared" si="492"/>
        <v>0</v>
      </c>
      <c r="P354" s="155">
        <f t="shared" si="492"/>
        <v>0</v>
      </c>
      <c r="Q354" s="155">
        <f t="shared" si="493"/>
        <v>-302705.2777694714</v>
      </c>
      <c r="R354" s="155">
        <f t="shared" si="494"/>
        <v>0</v>
      </c>
      <c r="S354" s="155">
        <f t="shared" si="494"/>
        <v>0</v>
      </c>
      <c r="T354" s="155">
        <f t="shared" si="503"/>
        <v>-302705.2777694714</v>
      </c>
      <c r="U354" s="155">
        <f t="shared" si="495"/>
        <v>0</v>
      </c>
      <c r="V354" s="155">
        <f t="shared" si="495"/>
        <v>0</v>
      </c>
      <c r="W354" s="155">
        <f t="shared" si="496"/>
        <v>-302705.2777694714</v>
      </c>
      <c r="X354" s="155">
        <f t="shared" si="497"/>
        <v>0</v>
      </c>
      <c r="Y354" s="155">
        <f t="shared" si="497"/>
        <v>0</v>
      </c>
      <c r="Z354" s="155">
        <f t="shared" si="498"/>
        <v>-302705.2777694714</v>
      </c>
      <c r="AA354" s="172">
        <f t="shared" si="506"/>
        <v>0.16176634750539554</v>
      </c>
      <c r="AB354" s="155">
        <f t="shared" si="500"/>
        <v>0</v>
      </c>
      <c r="AC354" s="155">
        <f t="shared" si="500"/>
        <v>0</v>
      </c>
      <c r="AD354" s="155">
        <f t="shared" si="504"/>
        <v>-294546.48054151022</v>
      </c>
      <c r="AE354" s="155">
        <f t="shared" si="504"/>
        <v>0</v>
      </c>
      <c r="AF354" s="155">
        <f t="shared" si="504"/>
        <v>0</v>
      </c>
      <c r="AG354" s="155">
        <f t="shared" si="504"/>
        <v>-294546.48054151022</v>
      </c>
      <c r="AH354" s="155">
        <f t="shared" si="504"/>
        <v>0</v>
      </c>
      <c r="AI354" s="155">
        <f t="shared" si="504"/>
        <v>0</v>
      </c>
      <c r="AJ354" s="155">
        <f t="shared" si="504"/>
        <v>-294546.48054151022</v>
      </c>
      <c r="AK354" s="155">
        <f t="shared" si="504"/>
        <v>0</v>
      </c>
      <c r="AL354" s="155">
        <f t="shared" si="504"/>
        <v>0</v>
      </c>
      <c r="AM354" s="155">
        <f t="shared" si="504"/>
        <v>-294546.48054151022</v>
      </c>
      <c r="AN354" s="172">
        <f t="shared" si="507"/>
        <v>0.15740626882645836</v>
      </c>
      <c r="AO354" s="172"/>
    </row>
    <row r="355" spans="1:41" x14ac:dyDescent="0.15">
      <c r="A355" s="39" t="s">
        <v>638</v>
      </c>
      <c r="B355" s="39" t="s">
        <v>638</v>
      </c>
      <c r="G355" s="172"/>
      <c r="H355" s="155"/>
      <c r="J355" s="155">
        <f t="shared" si="488"/>
        <v>301302.34746345173</v>
      </c>
      <c r="M355" s="155">
        <f t="shared" si="490"/>
        <v>301302.34746345173</v>
      </c>
      <c r="N355" s="172">
        <v>1</v>
      </c>
      <c r="O355" s="155">
        <f t="shared" si="492"/>
        <v>0</v>
      </c>
      <c r="P355" s="155">
        <f t="shared" si="492"/>
        <v>0</v>
      </c>
      <c r="Q355" s="155">
        <f t="shared" si="493"/>
        <v>-169066.38206882295</v>
      </c>
      <c r="R355" s="155">
        <f t="shared" si="494"/>
        <v>0</v>
      </c>
      <c r="S355" s="155">
        <f t="shared" si="494"/>
        <v>0</v>
      </c>
      <c r="T355" s="155">
        <f t="shared" si="503"/>
        <v>-169066.38206882295</v>
      </c>
      <c r="U355" s="155">
        <f t="shared" si="495"/>
        <v>0</v>
      </c>
      <c r="V355" s="155">
        <f t="shared" si="495"/>
        <v>0</v>
      </c>
      <c r="W355" s="155">
        <f t="shared" si="496"/>
        <v>-169066.38206882295</v>
      </c>
      <c r="X355" s="155">
        <f t="shared" si="497"/>
        <v>0</v>
      </c>
      <c r="Y355" s="155">
        <f t="shared" si="497"/>
        <v>0</v>
      </c>
      <c r="Z355" s="155">
        <f t="shared" si="498"/>
        <v>-169066.38206882295</v>
      </c>
      <c r="AA355" s="172">
        <v>1</v>
      </c>
      <c r="AD355" s="155">
        <f t="shared" si="504"/>
        <v>0</v>
      </c>
      <c r="AE355" s="155">
        <f t="shared" si="504"/>
        <v>0</v>
      </c>
      <c r="AF355" s="155">
        <f t="shared" si="504"/>
        <v>0</v>
      </c>
      <c r="AG355" s="155">
        <f t="shared" si="504"/>
        <v>0</v>
      </c>
      <c r="AH355" s="155">
        <f t="shared" si="504"/>
        <v>0</v>
      </c>
      <c r="AI355" s="155">
        <f t="shared" si="504"/>
        <v>0</v>
      </c>
      <c r="AJ355" s="155">
        <f t="shared" si="504"/>
        <v>0</v>
      </c>
      <c r="AK355" s="155">
        <f t="shared" si="504"/>
        <v>0</v>
      </c>
      <c r="AL355" s="155">
        <f t="shared" si="504"/>
        <v>0</v>
      </c>
      <c r="AM355" s="155">
        <f t="shared" si="504"/>
        <v>0</v>
      </c>
      <c r="AN355" s="172">
        <v>1</v>
      </c>
      <c r="AO355" s="172"/>
    </row>
    <row r="356" spans="1:41" x14ac:dyDescent="0.15">
      <c r="A356" s="39" t="s">
        <v>43</v>
      </c>
      <c r="B356" s="39" t="s">
        <v>43</v>
      </c>
      <c r="G356" s="172"/>
      <c r="H356" s="155">
        <f t="shared" ref="H356:I362" si="508">(SUMIF($A$176:$A$215,$A356,H$176:H$215)*0.35+SUMIF($A$226:$A$264,$A356,H$226:H$264)*0.06*0.65)*$N356</f>
        <v>0</v>
      </c>
      <c r="I356" s="155">
        <f t="shared" si="508"/>
        <v>0</v>
      </c>
      <c r="J356" s="155">
        <f t="shared" si="488"/>
        <v>-1739724.7311360009</v>
      </c>
      <c r="K356" s="155">
        <f t="shared" ref="K356:L363" si="509">(SUMIF($A$176:$A$215,$A356,K$176:K$215)*0.35+SUMIF($A$226:$A$264,$A356,K$226:K$264)*0.06*0.65)*$N356</f>
        <v>0</v>
      </c>
      <c r="L356" s="155">
        <f t="shared" si="509"/>
        <v>0</v>
      </c>
      <c r="M356" s="155">
        <f t="shared" si="490"/>
        <v>-579908.2437120002</v>
      </c>
      <c r="N356" s="172">
        <f>100%-N312</f>
        <v>0.10240000000000005</v>
      </c>
      <c r="O356" s="155">
        <f t="shared" si="492"/>
        <v>0</v>
      </c>
      <c r="P356" s="155">
        <f t="shared" si="492"/>
        <v>0</v>
      </c>
      <c r="Q356" s="155">
        <f t="shared" si="493"/>
        <v>-156511.18043226772</v>
      </c>
      <c r="R356" s="155">
        <f t="shared" si="494"/>
        <v>0</v>
      </c>
      <c r="S356" s="155">
        <f t="shared" si="494"/>
        <v>0</v>
      </c>
      <c r="T356" s="155">
        <f t="shared" si="503"/>
        <v>-156511.18043226772</v>
      </c>
      <c r="U356" s="155">
        <f t="shared" si="495"/>
        <v>0</v>
      </c>
      <c r="V356" s="155">
        <f t="shared" si="495"/>
        <v>0</v>
      </c>
      <c r="W356" s="155">
        <f t="shared" si="496"/>
        <v>-156511.18043226772</v>
      </c>
      <c r="X356" s="155">
        <f t="shared" si="497"/>
        <v>0</v>
      </c>
      <c r="Y356" s="155">
        <f t="shared" si="497"/>
        <v>0</v>
      </c>
      <c r="Z356" s="155">
        <f t="shared" si="498"/>
        <v>-156511.18043226772</v>
      </c>
      <c r="AA356" s="172">
        <f>100%-AA312</f>
        <v>2.3900000000000032E-2</v>
      </c>
      <c r="AB356" s="155">
        <f t="shared" ref="AB356:AC363" si="510">(SUMIF($A$176:$A$215,$A356,AB$176:AB$215)*0.35+SUMIF($A$226:$A$264,$A356,AB$226:AB$264)*0.06*0.65)*$AN356</f>
        <v>0</v>
      </c>
      <c r="AC356" s="155">
        <f t="shared" si="510"/>
        <v>0</v>
      </c>
      <c r="AD356" s="155">
        <f t="shared" si="504"/>
        <v>0</v>
      </c>
      <c r="AE356" s="155">
        <f t="shared" si="504"/>
        <v>0</v>
      </c>
      <c r="AF356" s="155">
        <f t="shared" si="504"/>
        <v>0</v>
      </c>
      <c r="AG356" s="155">
        <f t="shared" si="504"/>
        <v>0</v>
      </c>
      <c r="AH356" s="155">
        <f t="shared" si="504"/>
        <v>0</v>
      </c>
      <c r="AI356" s="155">
        <f t="shared" si="504"/>
        <v>0</v>
      </c>
      <c r="AJ356" s="155">
        <f t="shared" si="504"/>
        <v>0</v>
      </c>
      <c r="AK356" s="155">
        <f t="shared" si="504"/>
        <v>0</v>
      </c>
      <c r="AL356" s="155">
        <f t="shared" ref="AE356:AM363" si="511">(SUMIF($A$176:$A$215,$A356,AL$176:AL$215)*0.21+SUMIF($A$226:$A$264,$A356,AL$226:AL$264)*0.05*0.79)*$AN356</f>
        <v>0</v>
      </c>
      <c r="AM356" s="155">
        <f t="shared" si="511"/>
        <v>0</v>
      </c>
      <c r="AN356" s="172">
        <f>100%-AN312</f>
        <v>0.19999999999999996</v>
      </c>
      <c r="AO356" s="172"/>
    </row>
    <row r="357" spans="1:41" x14ac:dyDescent="0.15">
      <c r="A357" s="39" t="s">
        <v>44</v>
      </c>
      <c r="B357" s="39" t="s">
        <v>44</v>
      </c>
      <c r="G357" s="172"/>
      <c r="H357" s="155">
        <f t="shared" si="508"/>
        <v>0</v>
      </c>
      <c r="I357" s="155">
        <f t="shared" si="508"/>
        <v>0</v>
      </c>
      <c r="J357" s="155">
        <f t="shared" si="488"/>
        <v>2338469.7333863419</v>
      </c>
      <c r="K357" s="155">
        <f t="shared" si="509"/>
        <v>0</v>
      </c>
      <c r="L357" s="155">
        <f t="shared" si="509"/>
        <v>0</v>
      </c>
      <c r="M357" s="155">
        <f t="shared" si="490"/>
        <v>2338469.7333863419</v>
      </c>
      <c r="N357" s="172">
        <f>100%-N313</f>
        <v>0.19008626594579081</v>
      </c>
      <c r="O357" s="155">
        <f t="shared" si="492"/>
        <v>0</v>
      </c>
      <c r="P357" s="155">
        <f t="shared" si="492"/>
        <v>0</v>
      </c>
      <c r="Q357" s="155">
        <f t="shared" si="493"/>
        <v>2455816.1526277908</v>
      </c>
      <c r="R357" s="155">
        <f t="shared" si="494"/>
        <v>0</v>
      </c>
      <c r="S357" s="155">
        <f t="shared" si="494"/>
        <v>0</v>
      </c>
      <c r="T357" s="155">
        <f t="shared" si="503"/>
        <v>2455816.1526277908</v>
      </c>
      <c r="U357" s="155">
        <f t="shared" si="495"/>
        <v>0</v>
      </c>
      <c r="V357" s="155">
        <f t="shared" si="495"/>
        <v>0</v>
      </c>
      <c r="W357" s="155">
        <f t="shared" si="496"/>
        <v>2455816.1526277908</v>
      </c>
      <c r="X357" s="155">
        <f t="shared" si="497"/>
        <v>0</v>
      </c>
      <c r="Y357" s="155">
        <f t="shared" si="497"/>
        <v>0</v>
      </c>
      <c r="Z357" s="155">
        <f t="shared" si="498"/>
        <v>2455816.1526277908</v>
      </c>
      <c r="AA357" s="172">
        <f>100%-AA313</f>
        <v>0.16176634750539554</v>
      </c>
      <c r="AB357" s="155">
        <f t="shared" si="510"/>
        <v>0</v>
      </c>
      <c r="AC357" s="155">
        <f t="shared" si="510"/>
        <v>0</v>
      </c>
      <c r="AD357" s="155">
        <f t="shared" si="504"/>
        <v>2654006.0705022546</v>
      </c>
      <c r="AE357" s="155">
        <f t="shared" si="511"/>
        <v>0</v>
      </c>
      <c r="AF357" s="155">
        <f t="shared" si="511"/>
        <v>0</v>
      </c>
      <c r="AG357" s="155">
        <f t="shared" si="511"/>
        <v>2654006.0705022546</v>
      </c>
      <c r="AH357" s="155">
        <f t="shared" si="511"/>
        <v>0</v>
      </c>
      <c r="AI357" s="155">
        <f t="shared" si="511"/>
        <v>0</v>
      </c>
      <c r="AJ357" s="155">
        <f t="shared" si="511"/>
        <v>2654006.0705022546</v>
      </c>
      <c r="AK357" s="155">
        <f t="shared" si="511"/>
        <v>0</v>
      </c>
      <c r="AL357" s="155">
        <f t="shared" si="511"/>
        <v>0</v>
      </c>
      <c r="AM357" s="155">
        <f t="shared" si="511"/>
        <v>2654006.0705022546</v>
      </c>
      <c r="AN357" s="172">
        <f>100%-AN313</f>
        <v>0.15740626882645836</v>
      </c>
      <c r="AO357" s="172"/>
    </row>
    <row r="358" spans="1:41" x14ac:dyDescent="0.15">
      <c r="A358" s="39" t="s">
        <v>47</v>
      </c>
      <c r="B358" s="39" t="s">
        <v>47</v>
      </c>
      <c r="G358" s="172"/>
      <c r="H358" s="155">
        <f t="shared" si="508"/>
        <v>0</v>
      </c>
      <c r="I358" s="155">
        <f t="shared" si="508"/>
        <v>0</v>
      </c>
      <c r="J358" s="155">
        <f t="shared" si="488"/>
        <v>142279.57006042442</v>
      </c>
      <c r="K358" s="155">
        <f t="shared" si="509"/>
        <v>0</v>
      </c>
      <c r="L358" s="155">
        <f t="shared" si="509"/>
        <v>0</v>
      </c>
      <c r="M358" s="155">
        <f t="shared" si="490"/>
        <v>142279.57006042442</v>
      </c>
      <c r="N358" s="172">
        <f t="shared" ref="N358:N363" si="512">100%-N315</f>
        <v>0.19008626594579081</v>
      </c>
      <c r="O358" s="155">
        <f t="shared" si="492"/>
        <v>0</v>
      </c>
      <c r="P358" s="155">
        <f t="shared" si="492"/>
        <v>0</v>
      </c>
      <c r="Q358" s="155">
        <f t="shared" si="493"/>
        <v>121082.11110778856</v>
      </c>
      <c r="R358" s="155">
        <f t="shared" si="494"/>
        <v>0</v>
      </c>
      <c r="S358" s="155">
        <f t="shared" si="494"/>
        <v>0</v>
      </c>
      <c r="T358" s="155">
        <f t="shared" si="503"/>
        <v>121082.11110778856</v>
      </c>
      <c r="U358" s="155">
        <f t="shared" si="495"/>
        <v>0</v>
      </c>
      <c r="V358" s="155">
        <f t="shared" si="495"/>
        <v>0</v>
      </c>
      <c r="W358" s="155">
        <f t="shared" si="496"/>
        <v>121082.11110778856</v>
      </c>
      <c r="X358" s="155">
        <f t="shared" si="497"/>
        <v>0</v>
      </c>
      <c r="Y358" s="155">
        <f t="shared" si="497"/>
        <v>0</v>
      </c>
      <c r="Z358" s="155">
        <f t="shared" si="498"/>
        <v>121082.11110778856</v>
      </c>
      <c r="AA358" s="172">
        <f t="shared" ref="AA358:AA363" si="513">100%-AA315</f>
        <v>0.16176634750539554</v>
      </c>
      <c r="AB358" s="155">
        <f t="shared" si="510"/>
        <v>0</v>
      </c>
      <c r="AC358" s="155">
        <f t="shared" si="510"/>
        <v>0</v>
      </c>
      <c r="AD358" s="155">
        <f t="shared" si="504"/>
        <v>117818.59221660408</v>
      </c>
      <c r="AE358" s="155">
        <f t="shared" si="511"/>
        <v>0</v>
      </c>
      <c r="AF358" s="155">
        <f t="shared" si="511"/>
        <v>0</v>
      </c>
      <c r="AG358" s="155">
        <f t="shared" si="511"/>
        <v>117818.59221660408</v>
      </c>
      <c r="AH358" s="155">
        <f t="shared" si="511"/>
        <v>0</v>
      </c>
      <c r="AI358" s="155">
        <f t="shared" si="511"/>
        <v>0</v>
      </c>
      <c r="AJ358" s="155">
        <f t="shared" si="511"/>
        <v>117818.59221660408</v>
      </c>
      <c r="AK358" s="155">
        <f t="shared" si="511"/>
        <v>0</v>
      </c>
      <c r="AL358" s="155">
        <f t="shared" si="511"/>
        <v>0</v>
      </c>
      <c r="AM358" s="155">
        <f t="shared" si="511"/>
        <v>117818.59221660408</v>
      </c>
      <c r="AN358" s="172">
        <f t="shared" ref="AN358:AN363" si="514">100%-AN315</f>
        <v>0.15740626882645836</v>
      </c>
      <c r="AO358" s="172"/>
    </row>
    <row r="359" spans="1:41" x14ac:dyDescent="0.15">
      <c r="A359" s="39" t="s">
        <v>51</v>
      </c>
      <c r="B359" s="39" t="s">
        <v>51</v>
      </c>
      <c r="G359" s="172"/>
      <c r="H359" s="155">
        <f t="shared" si="508"/>
        <v>0</v>
      </c>
      <c r="I359" s="155">
        <f t="shared" si="508"/>
        <v>0</v>
      </c>
      <c r="J359" s="155">
        <f t="shared" si="488"/>
        <v>-413437.91217362648</v>
      </c>
      <c r="K359" s="155">
        <f t="shared" si="509"/>
        <v>0</v>
      </c>
      <c r="L359" s="155">
        <f t="shared" si="509"/>
        <v>0</v>
      </c>
      <c r="M359" s="155">
        <f t="shared" si="490"/>
        <v>-413437.91217362648</v>
      </c>
      <c r="N359" s="172">
        <f t="shared" si="512"/>
        <v>0.19008626594579081</v>
      </c>
      <c r="O359" s="155">
        <f t="shared" si="492"/>
        <v>0</v>
      </c>
      <c r="P359" s="155">
        <f t="shared" si="492"/>
        <v>0</v>
      </c>
      <c r="Q359" s="155">
        <f t="shared" si="493"/>
        <v>-384138.42741673184</v>
      </c>
      <c r="R359" s="155">
        <f t="shared" si="494"/>
        <v>0</v>
      </c>
      <c r="S359" s="155">
        <f t="shared" si="494"/>
        <v>0</v>
      </c>
      <c r="T359" s="155">
        <f t="shared" si="503"/>
        <v>-384138.42741673184</v>
      </c>
      <c r="U359" s="155">
        <f t="shared" si="495"/>
        <v>0</v>
      </c>
      <c r="V359" s="155">
        <f t="shared" si="495"/>
        <v>0</v>
      </c>
      <c r="W359" s="155">
        <f t="shared" si="496"/>
        <v>-384138.42741673184</v>
      </c>
      <c r="X359" s="155">
        <f t="shared" si="497"/>
        <v>0</v>
      </c>
      <c r="Y359" s="155">
        <f t="shared" si="497"/>
        <v>0</v>
      </c>
      <c r="Z359" s="155">
        <f t="shared" si="498"/>
        <v>-384138.42741673184</v>
      </c>
      <c r="AA359" s="172">
        <f t="shared" si="513"/>
        <v>0.16176634750539554</v>
      </c>
      <c r="AB359" s="155">
        <f t="shared" si="510"/>
        <v>0</v>
      </c>
      <c r="AC359" s="155">
        <f t="shared" si="510"/>
        <v>0</v>
      </c>
      <c r="AD359" s="155">
        <f t="shared" si="504"/>
        <v>-248876.73680882616</v>
      </c>
      <c r="AE359" s="155">
        <f t="shared" si="511"/>
        <v>0</v>
      </c>
      <c r="AF359" s="155">
        <f t="shared" si="511"/>
        <v>0</v>
      </c>
      <c r="AG359" s="155">
        <f t="shared" si="511"/>
        <v>-248876.73680882616</v>
      </c>
      <c r="AH359" s="155">
        <f t="shared" si="511"/>
        <v>0</v>
      </c>
      <c r="AI359" s="155">
        <f t="shared" si="511"/>
        <v>0</v>
      </c>
      <c r="AJ359" s="155">
        <f t="shared" si="511"/>
        <v>-248876.73680882616</v>
      </c>
      <c r="AK359" s="155">
        <f t="shared" si="511"/>
        <v>0</v>
      </c>
      <c r="AL359" s="155">
        <f t="shared" si="511"/>
        <v>0</v>
      </c>
      <c r="AM359" s="155">
        <f t="shared" si="511"/>
        <v>-248876.73680882616</v>
      </c>
      <c r="AN359" s="172">
        <f t="shared" si="514"/>
        <v>0.15740626882645836</v>
      </c>
      <c r="AO359" s="172"/>
    </row>
    <row r="360" spans="1:41" x14ac:dyDescent="0.15">
      <c r="A360" s="39" t="s">
        <v>66</v>
      </c>
      <c r="B360" s="39" t="s">
        <v>66</v>
      </c>
      <c r="G360" s="172"/>
      <c r="H360" s="155">
        <f t="shared" si="508"/>
        <v>0</v>
      </c>
      <c r="I360" s="155">
        <f t="shared" si="508"/>
        <v>0</v>
      </c>
      <c r="J360" s="155">
        <f t="shared" si="488"/>
        <v>125129.79463052278</v>
      </c>
      <c r="K360" s="155">
        <f t="shared" si="509"/>
        <v>0</v>
      </c>
      <c r="L360" s="155">
        <f t="shared" si="509"/>
        <v>0</v>
      </c>
      <c r="M360" s="155">
        <f t="shared" si="490"/>
        <v>125129.79463052278</v>
      </c>
      <c r="N360" s="172">
        <f t="shared" si="512"/>
        <v>0.19008626594579081</v>
      </c>
      <c r="O360" s="155">
        <f t="shared" si="492"/>
        <v>0</v>
      </c>
      <c r="P360" s="155">
        <f t="shared" si="492"/>
        <v>0</v>
      </c>
      <c r="Q360" s="155">
        <f t="shared" si="493"/>
        <v>89531.814490118762</v>
      </c>
      <c r="R360" s="155">
        <f t="shared" si="494"/>
        <v>0</v>
      </c>
      <c r="S360" s="155">
        <f t="shared" si="494"/>
        <v>0</v>
      </c>
      <c r="T360" s="155">
        <f t="shared" si="503"/>
        <v>89531.814490118762</v>
      </c>
      <c r="U360" s="155">
        <f t="shared" si="495"/>
        <v>0</v>
      </c>
      <c r="V360" s="155">
        <f t="shared" si="495"/>
        <v>0</v>
      </c>
      <c r="W360" s="155">
        <f t="shared" si="496"/>
        <v>89531.814490118762</v>
      </c>
      <c r="X360" s="155">
        <f t="shared" si="497"/>
        <v>0</v>
      </c>
      <c r="Y360" s="155">
        <f t="shared" si="497"/>
        <v>0</v>
      </c>
      <c r="Z360" s="155">
        <f t="shared" si="498"/>
        <v>89531.814490118762</v>
      </c>
      <c r="AA360" s="172">
        <f t="shared" si="513"/>
        <v>0.16176634750539554</v>
      </c>
      <c r="AB360" s="155">
        <f t="shared" si="510"/>
        <v>0</v>
      </c>
      <c r="AC360" s="155">
        <f t="shared" si="510"/>
        <v>0</v>
      </c>
      <c r="AD360" s="155">
        <f t="shared" si="504"/>
        <v>63312.993924348368</v>
      </c>
      <c r="AE360" s="155">
        <f t="shared" si="511"/>
        <v>0</v>
      </c>
      <c r="AF360" s="155">
        <f t="shared" si="511"/>
        <v>0</v>
      </c>
      <c r="AG360" s="155">
        <f t="shared" si="511"/>
        <v>63312.993924348368</v>
      </c>
      <c r="AH360" s="155">
        <f t="shared" si="511"/>
        <v>0</v>
      </c>
      <c r="AI360" s="155">
        <f t="shared" si="511"/>
        <v>0</v>
      </c>
      <c r="AJ360" s="155">
        <f t="shared" si="511"/>
        <v>63312.993924348368</v>
      </c>
      <c r="AK360" s="155">
        <f t="shared" si="511"/>
        <v>0</v>
      </c>
      <c r="AL360" s="155">
        <f t="shared" si="511"/>
        <v>0</v>
      </c>
      <c r="AM360" s="155">
        <f t="shared" si="511"/>
        <v>63312.993924348368</v>
      </c>
      <c r="AN360" s="172">
        <f t="shared" si="514"/>
        <v>0.15740626882645836</v>
      </c>
      <c r="AO360" s="172"/>
    </row>
    <row r="361" spans="1:41" x14ac:dyDescent="0.15">
      <c r="A361" s="39" t="s">
        <v>78</v>
      </c>
      <c r="B361" s="39" t="s">
        <v>78</v>
      </c>
      <c r="G361" s="172"/>
      <c r="H361" s="155">
        <f t="shared" si="508"/>
        <v>0</v>
      </c>
      <c r="I361" s="155">
        <f t="shared" si="508"/>
        <v>0</v>
      </c>
      <c r="J361" s="155">
        <f>(SUMIF($A$176:$A$215,$A361,J$176:J$215)*0.21+SUMIF($A$226:$A$264,$A361,J$226:J$264)*0.05*0.79)*(1-$G424)</f>
        <v>-2852723.3493811172</v>
      </c>
      <c r="K361" s="155">
        <f t="shared" si="509"/>
        <v>0</v>
      </c>
      <c r="L361" s="155">
        <f t="shared" si="509"/>
        <v>0</v>
      </c>
      <c r="M361" s="155">
        <f t="shared" si="490"/>
        <v>-2333171.428151445</v>
      </c>
      <c r="N361" s="172">
        <f t="shared" si="512"/>
        <v>0.19325772464253799</v>
      </c>
      <c r="O361" s="155">
        <f t="shared" si="492"/>
        <v>0</v>
      </c>
      <c r="P361" s="155">
        <f t="shared" si="492"/>
        <v>0</v>
      </c>
      <c r="Q361" s="155">
        <f t="shared" si="493"/>
        <v>-2781352.3870380186</v>
      </c>
      <c r="R361" s="155">
        <f t="shared" si="494"/>
        <v>0</v>
      </c>
      <c r="S361" s="155">
        <f t="shared" si="494"/>
        <v>0</v>
      </c>
      <c r="T361" s="155">
        <f t="shared" si="503"/>
        <v>-2781352.3870380186</v>
      </c>
      <c r="U361" s="155">
        <f t="shared" si="495"/>
        <v>0</v>
      </c>
      <c r="V361" s="155">
        <f t="shared" si="495"/>
        <v>0</v>
      </c>
      <c r="W361" s="155">
        <f t="shared" si="496"/>
        <v>-2781352.3870380186</v>
      </c>
      <c r="X361" s="155">
        <f t="shared" si="497"/>
        <v>0</v>
      </c>
      <c r="Y361" s="155">
        <f t="shared" si="497"/>
        <v>0</v>
      </c>
      <c r="Z361" s="155">
        <f t="shared" si="498"/>
        <v>-2781352.3870380186</v>
      </c>
      <c r="AA361" s="172">
        <f t="shared" si="513"/>
        <v>0.2061681795064052</v>
      </c>
      <c r="AB361" s="155">
        <f t="shared" si="510"/>
        <v>0</v>
      </c>
      <c r="AC361" s="155">
        <f t="shared" si="510"/>
        <v>0</v>
      </c>
      <c r="AD361" s="155">
        <f t="shared" si="504"/>
        <v>-3061813.4231162244</v>
      </c>
      <c r="AE361" s="155">
        <f t="shared" si="511"/>
        <v>0</v>
      </c>
      <c r="AF361" s="155">
        <f t="shared" si="511"/>
        <v>0</v>
      </c>
      <c r="AG361" s="155">
        <f t="shared" si="511"/>
        <v>-3061813.4231162244</v>
      </c>
      <c r="AH361" s="155">
        <f t="shared" si="511"/>
        <v>0</v>
      </c>
      <c r="AI361" s="155">
        <f t="shared" si="511"/>
        <v>0</v>
      </c>
      <c r="AJ361" s="155">
        <f t="shared" si="511"/>
        <v>-3061813.4231162244</v>
      </c>
      <c r="AK361" s="155">
        <f t="shared" si="511"/>
        <v>0</v>
      </c>
      <c r="AL361" s="155">
        <f t="shared" si="511"/>
        <v>0</v>
      </c>
      <c r="AM361" s="155">
        <f t="shared" si="511"/>
        <v>-3061813.4231162244</v>
      </c>
      <c r="AN361" s="172">
        <f t="shared" si="514"/>
        <v>0.21766450831060835</v>
      </c>
      <c r="AO361" s="172"/>
    </row>
    <row r="362" spans="1:41" x14ac:dyDescent="0.15">
      <c r="A362" s="39" t="s">
        <v>318</v>
      </c>
      <c r="B362" s="39" t="s">
        <v>269</v>
      </c>
      <c r="G362" s="172"/>
      <c r="H362" s="155">
        <f t="shared" si="508"/>
        <v>0</v>
      </c>
      <c r="I362" s="155">
        <f t="shared" si="508"/>
        <v>0</v>
      </c>
      <c r="J362" s="155">
        <f t="shared" si="488"/>
        <v>-479904.49845388846</v>
      </c>
      <c r="K362" s="155">
        <f t="shared" si="509"/>
        <v>0</v>
      </c>
      <c r="L362" s="155">
        <f t="shared" si="509"/>
        <v>0</v>
      </c>
      <c r="M362" s="155">
        <f t="shared" si="490"/>
        <v>-806165.90667613945</v>
      </c>
      <c r="N362" s="172">
        <f t="shared" si="512"/>
        <v>0.13153219744981048</v>
      </c>
      <c r="O362" s="155">
        <f t="shared" si="492"/>
        <v>0</v>
      </c>
      <c r="P362" s="155">
        <f t="shared" si="492"/>
        <v>0</v>
      </c>
      <c r="Q362" s="155">
        <f t="shared" si="493"/>
        <v>-228074.56625414922</v>
      </c>
      <c r="R362" s="155">
        <f t="shared" si="494"/>
        <v>0</v>
      </c>
      <c r="S362" s="155">
        <f t="shared" si="494"/>
        <v>0</v>
      </c>
      <c r="T362" s="155">
        <f t="shared" si="503"/>
        <v>-228074.56625035894</v>
      </c>
      <c r="U362" s="155">
        <f t="shared" si="495"/>
        <v>0</v>
      </c>
      <c r="V362" s="155">
        <f t="shared" si="495"/>
        <v>0</v>
      </c>
      <c r="W362" s="155">
        <f t="shared" si="496"/>
        <v>-228074.56623932818</v>
      </c>
      <c r="X362" s="155">
        <f t="shared" si="497"/>
        <v>0</v>
      </c>
      <c r="Y362" s="155">
        <f t="shared" si="497"/>
        <v>0</v>
      </c>
      <c r="Z362" s="155">
        <f t="shared" si="498"/>
        <v>-228074.56622729971</v>
      </c>
      <c r="AA362" s="172">
        <f t="shared" si="513"/>
        <v>0.13153219744981048</v>
      </c>
      <c r="AB362" s="155">
        <f t="shared" si="510"/>
        <v>0</v>
      </c>
      <c r="AC362" s="155">
        <f t="shared" si="510"/>
        <v>0</v>
      </c>
      <c r="AD362" s="155">
        <f t="shared" si="504"/>
        <v>-31732.307707674579</v>
      </c>
      <c r="AE362" s="155">
        <f t="shared" si="511"/>
        <v>0</v>
      </c>
      <c r="AF362" s="155">
        <f t="shared" si="511"/>
        <v>0</v>
      </c>
      <c r="AG362" s="155">
        <f t="shared" si="511"/>
        <v>-31732.307707674579</v>
      </c>
      <c r="AH362" s="155">
        <f t="shared" si="511"/>
        <v>0</v>
      </c>
      <c r="AI362" s="155">
        <f t="shared" si="511"/>
        <v>0</v>
      </c>
      <c r="AJ362" s="155">
        <f t="shared" si="511"/>
        <v>-31732.307707674579</v>
      </c>
      <c r="AK362" s="155">
        <f t="shared" si="511"/>
        <v>0</v>
      </c>
      <c r="AL362" s="155">
        <f t="shared" si="511"/>
        <v>0</v>
      </c>
      <c r="AM362" s="155">
        <f t="shared" si="511"/>
        <v>-31732.307707674579</v>
      </c>
      <c r="AN362" s="172">
        <f t="shared" si="514"/>
        <v>0.13153219744981048</v>
      </c>
      <c r="AO362" s="172"/>
    </row>
    <row r="363" spans="1:41" x14ac:dyDescent="0.15">
      <c r="A363" s="39" t="s">
        <v>79</v>
      </c>
      <c r="B363" s="39" t="s">
        <v>79</v>
      </c>
      <c r="G363" s="172"/>
      <c r="H363" s="155"/>
      <c r="J363" s="155">
        <f t="shared" si="488"/>
        <v>-650726.82550481509</v>
      </c>
      <c r="K363" s="155">
        <f t="shared" si="509"/>
        <v>0</v>
      </c>
      <c r="L363" s="155">
        <f t="shared" si="509"/>
        <v>0</v>
      </c>
      <c r="M363" s="155">
        <f t="shared" si="490"/>
        <v>-650726.82550481509</v>
      </c>
      <c r="N363" s="172">
        <f t="shared" si="512"/>
        <v>0.17964092705139412</v>
      </c>
      <c r="O363" s="155">
        <f t="shared" si="492"/>
        <v>0</v>
      </c>
      <c r="P363" s="155">
        <f t="shared" si="492"/>
        <v>0</v>
      </c>
      <c r="Q363" s="155">
        <f t="shared" si="493"/>
        <v>-712585.06284393021</v>
      </c>
      <c r="R363" s="155">
        <f t="shared" si="494"/>
        <v>0</v>
      </c>
      <c r="S363" s="155">
        <f t="shared" si="494"/>
        <v>0</v>
      </c>
      <c r="T363" s="155">
        <f t="shared" si="503"/>
        <v>-712585.06284393021</v>
      </c>
      <c r="U363" s="155">
        <f t="shared" si="495"/>
        <v>0</v>
      </c>
      <c r="V363" s="155">
        <f t="shared" si="495"/>
        <v>0</v>
      </c>
      <c r="W363" s="155">
        <f t="shared" si="496"/>
        <v>-712585.06284393021</v>
      </c>
      <c r="X363" s="155">
        <f t="shared" si="497"/>
        <v>0</v>
      </c>
      <c r="Y363" s="155">
        <f t="shared" si="497"/>
        <v>0</v>
      </c>
      <c r="Z363" s="155">
        <f t="shared" si="498"/>
        <v>-712585.06284393021</v>
      </c>
      <c r="AA363" s="172">
        <f t="shared" si="513"/>
        <v>0.18333437950393316</v>
      </c>
      <c r="AB363" s="155">
        <f t="shared" si="510"/>
        <v>0</v>
      </c>
      <c r="AC363" s="155">
        <f t="shared" si="510"/>
        <v>0</v>
      </c>
      <c r="AD363" s="155">
        <f t="shared" si="504"/>
        <v>-749130.24315051211</v>
      </c>
      <c r="AE363" s="155">
        <f t="shared" si="511"/>
        <v>0</v>
      </c>
      <c r="AF363" s="155">
        <f t="shared" si="511"/>
        <v>0</v>
      </c>
      <c r="AG363" s="155">
        <f t="shared" si="511"/>
        <v>-749130.24315051211</v>
      </c>
      <c r="AH363" s="155">
        <f t="shared" si="511"/>
        <v>0</v>
      </c>
      <c r="AI363" s="155">
        <f t="shared" si="511"/>
        <v>0</v>
      </c>
      <c r="AJ363" s="155">
        <f t="shared" si="511"/>
        <v>-749130.24315051211</v>
      </c>
      <c r="AK363" s="155">
        <f t="shared" si="511"/>
        <v>0</v>
      </c>
      <c r="AL363" s="155">
        <f t="shared" si="511"/>
        <v>0</v>
      </c>
      <c r="AM363" s="155">
        <f t="shared" si="511"/>
        <v>-749130.24315051211</v>
      </c>
      <c r="AN363" s="172">
        <f t="shared" si="514"/>
        <v>0.19475597594078931</v>
      </c>
      <c r="AO363" s="172"/>
    </row>
    <row r="364" spans="1:41" x14ac:dyDescent="0.15">
      <c r="A364" s="39" t="s">
        <v>496</v>
      </c>
      <c r="B364" s="39" t="s">
        <v>268</v>
      </c>
      <c r="G364" s="172"/>
      <c r="H364" s="155"/>
      <c r="J364" s="155">
        <f>+J$221*$N364</f>
        <v>0</v>
      </c>
      <c r="K364" s="155">
        <f>+K$221*$N364</f>
        <v>0</v>
      </c>
      <c r="L364" s="155">
        <f>+L$221*$N364</f>
        <v>0</v>
      </c>
      <c r="M364" s="155">
        <f>+M$221*$N364</f>
        <v>0</v>
      </c>
      <c r="N364" s="172">
        <v>0</v>
      </c>
      <c r="O364" s="155">
        <f>+O$221*$AA364</f>
        <v>0</v>
      </c>
      <c r="P364" s="155">
        <f t="shared" ref="P364:Z364" si="515">+P$221*$AA364</f>
        <v>0</v>
      </c>
      <c r="Q364" s="155">
        <f t="shared" si="515"/>
        <v>0</v>
      </c>
      <c r="R364" s="155">
        <f t="shared" si="515"/>
        <v>0</v>
      </c>
      <c r="S364" s="155">
        <f t="shared" si="515"/>
        <v>0</v>
      </c>
      <c r="T364" s="155">
        <f t="shared" si="515"/>
        <v>0</v>
      </c>
      <c r="U364" s="155">
        <f t="shared" si="515"/>
        <v>0</v>
      </c>
      <c r="V364" s="155">
        <f t="shared" si="515"/>
        <v>0</v>
      </c>
      <c r="W364" s="155">
        <f t="shared" si="515"/>
        <v>0</v>
      </c>
      <c r="X364" s="155">
        <f t="shared" si="515"/>
        <v>0</v>
      </c>
      <c r="Y364" s="155">
        <f t="shared" si="515"/>
        <v>0</v>
      </c>
      <c r="Z364" s="155">
        <f t="shared" si="515"/>
        <v>0</v>
      </c>
      <c r="AA364" s="172">
        <v>0</v>
      </c>
      <c r="AB364" s="155">
        <f>+AB$221*$AN364</f>
        <v>0</v>
      </c>
      <c r="AC364" s="155">
        <f t="shared" ref="AC364:AM364" si="516">+AC$221*$AN364</f>
        <v>0</v>
      </c>
      <c r="AD364" s="155">
        <f t="shared" si="516"/>
        <v>0</v>
      </c>
      <c r="AE364" s="155">
        <f t="shared" si="516"/>
        <v>0</v>
      </c>
      <c r="AF364" s="155">
        <f t="shared" si="516"/>
        <v>0</v>
      </c>
      <c r="AG364" s="155">
        <f t="shared" si="516"/>
        <v>0</v>
      </c>
      <c r="AH364" s="155">
        <f t="shared" si="516"/>
        <v>0</v>
      </c>
      <c r="AI364" s="155">
        <f t="shared" si="516"/>
        <v>0</v>
      </c>
      <c r="AJ364" s="155">
        <f t="shared" si="516"/>
        <v>0</v>
      </c>
      <c r="AK364" s="155">
        <f t="shared" si="516"/>
        <v>0</v>
      </c>
      <c r="AL364" s="155">
        <f t="shared" si="516"/>
        <v>0</v>
      </c>
      <c r="AM364" s="155">
        <f t="shared" si="516"/>
        <v>0</v>
      </c>
      <c r="AN364" s="172">
        <v>0</v>
      </c>
      <c r="AO364" s="172"/>
    </row>
    <row r="365" spans="1:41" x14ac:dyDescent="0.15">
      <c r="A365" s="39" t="s">
        <v>100</v>
      </c>
      <c r="B365" s="39" t="s">
        <v>55</v>
      </c>
      <c r="G365" s="172"/>
      <c r="H365" s="155"/>
      <c r="J365" s="155">
        <f>+J$222*$N365-J366*0.21</f>
        <v>263214.61359726038</v>
      </c>
      <c r="K365" s="155">
        <f>+K$222*$N365-K366*0.35</f>
        <v>0</v>
      </c>
      <c r="L365" s="155">
        <f>+L$222*$N365-L366*0.35</f>
        <v>0</v>
      </c>
      <c r="M365" s="155">
        <f>+M$222*$N365-M366*0.21</f>
        <v>357065.23335483763</v>
      </c>
      <c r="N365" s="172">
        <f>100%-N323</f>
        <v>0.19201703885936394</v>
      </c>
      <c r="O365" s="155">
        <f>+O$222*$AA365-O366*0.35</f>
        <v>0</v>
      </c>
      <c r="P365" s="155">
        <f t="shared" ref="P365:Y365" si="517">+P$222*$AA365-P366*0.35</f>
        <v>0</v>
      </c>
      <c r="Q365" s="155">
        <f>+Q$222*$AA365-Q366*0.21</f>
        <v>482275.62444746029</v>
      </c>
      <c r="R365" s="155">
        <f>+R$222*$AA365-R366*0.21</f>
        <v>163827.89477783605</v>
      </c>
      <c r="S365" s="155">
        <f t="shared" si="517"/>
        <v>0</v>
      </c>
      <c r="T365" s="155">
        <f>+T$222*$AA365-T366*0.21</f>
        <v>321180.88242297125</v>
      </c>
      <c r="U365" s="155">
        <f t="shared" si="517"/>
        <v>0</v>
      </c>
      <c r="V365" s="155">
        <f t="shared" si="517"/>
        <v>0</v>
      </c>
      <c r="W365" s="155">
        <f>+W$222*$AA365-W366*0.21</f>
        <v>486375.45089118707</v>
      </c>
      <c r="X365" s="155">
        <f t="shared" si="517"/>
        <v>0</v>
      </c>
      <c r="Y365" s="155">
        <f t="shared" si="517"/>
        <v>0</v>
      </c>
      <c r="Z365" s="155">
        <f>+Z$222*$AA365-Z366*0.21</f>
        <v>486375.45089118707</v>
      </c>
      <c r="AA365" s="172">
        <f>100%-AA323</f>
        <v>0.19462741247219428</v>
      </c>
      <c r="AB365" s="155">
        <f>+AB$222*$AN365-AB366*0.35</f>
        <v>0</v>
      </c>
      <c r="AC365" s="155">
        <f t="shared" ref="AC365:AL365" si="518">+AC$222*$AN365-AC366*0.35</f>
        <v>0</v>
      </c>
      <c r="AD365" s="155">
        <f>+AD$222*$AN365-AD366*0.21</f>
        <v>524880.596556823</v>
      </c>
      <c r="AE365" s="155">
        <f>+AE$222*$AN365-AE366*0.21</f>
        <v>176163.21918600056</v>
      </c>
      <c r="AF365" s="155">
        <f t="shared" si="518"/>
        <v>0</v>
      </c>
      <c r="AG365" s="155">
        <f>+AG$222*$AN365-AG366*0.21</f>
        <v>348717.37737082236</v>
      </c>
      <c r="AH365" s="155">
        <f t="shared" si="518"/>
        <v>0</v>
      </c>
      <c r="AI365" s="155">
        <f t="shared" si="518"/>
        <v>0</v>
      </c>
      <c r="AJ365" s="155">
        <f>+AJ$222*$AN365-AJ366*0.21</f>
        <v>524880.596556823</v>
      </c>
      <c r="AK365" s="155">
        <f t="shared" si="518"/>
        <v>0</v>
      </c>
      <c r="AL365" s="155">
        <f t="shared" si="518"/>
        <v>0</v>
      </c>
      <c r="AM365" s="155">
        <f>+AM$222*$AN365-AM366*0.21</f>
        <v>524880.596556823</v>
      </c>
      <c r="AN365" s="172">
        <f>100%-AN323</f>
        <v>0.19506899546533529</v>
      </c>
      <c r="AO365" s="172"/>
    </row>
    <row r="366" spans="1:41" x14ac:dyDescent="0.15">
      <c r="A366" s="39" t="s">
        <v>102</v>
      </c>
      <c r="B366" s="39" t="s">
        <v>56</v>
      </c>
      <c r="G366" s="172"/>
      <c r="H366" s="155"/>
      <c r="J366" s="155">
        <f>+J$267*$N366</f>
        <v>48596.966760035699</v>
      </c>
      <c r="K366" s="155">
        <f>+K$267*$N366</f>
        <v>0</v>
      </c>
      <c r="L366" s="155">
        <f>+L$267*$N366</f>
        <v>0</v>
      </c>
      <c r="M366" s="155">
        <f>+M$267*$N366</f>
        <v>43041.050782162391</v>
      </c>
      <c r="N366" s="172">
        <f>100%-N324</f>
        <v>0.19201703885936394</v>
      </c>
      <c r="O366" s="155">
        <f>+O$267*$AA366</f>
        <v>0</v>
      </c>
      <c r="P366" s="155">
        <f t="shared" ref="P366:Z366" si="519">+P$267*$AA366</f>
        <v>0</v>
      </c>
      <c r="Q366" s="155">
        <f t="shared" si="519"/>
        <v>56764.684241391114</v>
      </c>
      <c r="R366" s="155">
        <f t="shared" si="519"/>
        <v>0</v>
      </c>
      <c r="S366" s="155">
        <f t="shared" si="519"/>
        <v>0</v>
      </c>
      <c r="T366" s="155">
        <f t="shared" si="519"/>
        <v>56764.684241391114</v>
      </c>
      <c r="U366" s="155">
        <f t="shared" si="519"/>
        <v>0</v>
      </c>
      <c r="V366" s="155">
        <f t="shared" si="519"/>
        <v>0</v>
      </c>
      <c r="W366" s="155">
        <f t="shared" si="519"/>
        <v>56764.684241391114</v>
      </c>
      <c r="X366" s="155">
        <f t="shared" si="519"/>
        <v>0</v>
      </c>
      <c r="Y366" s="155">
        <f t="shared" si="519"/>
        <v>0</v>
      </c>
      <c r="Z366" s="155">
        <f t="shared" si="519"/>
        <v>56764.684241391114</v>
      </c>
      <c r="AA366" s="172">
        <f>100%-AA324</f>
        <v>0.19462741247219428</v>
      </c>
      <c r="AB366" s="155">
        <f>+AB$267*$AN366</f>
        <v>0</v>
      </c>
      <c r="AC366" s="155">
        <f t="shared" ref="AC366:AM366" si="520">+AC$267*$AN366</f>
        <v>0</v>
      </c>
      <c r="AD366" s="155">
        <f t="shared" si="520"/>
        <v>53787.733244363641</v>
      </c>
      <c r="AE366" s="155">
        <f t="shared" si="520"/>
        <v>0</v>
      </c>
      <c r="AF366" s="155">
        <f t="shared" si="520"/>
        <v>0</v>
      </c>
      <c r="AG366" s="155">
        <f t="shared" si="520"/>
        <v>53787.733244363641</v>
      </c>
      <c r="AH366" s="155">
        <f t="shared" si="520"/>
        <v>0</v>
      </c>
      <c r="AI366" s="155">
        <f t="shared" si="520"/>
        <v>0</v>
      </c>
      <c r="AJ366" s="155">
        <f t="shared" si="520"/>
        <v>53787.733244363641</v>
      </c>
      <c r="AK366" s="155">
        <f t="shared" si="520"/>
        <v>0</v>
      </c>
      <c r="AL366" s="155">
        <f t="shared" si="520"/>
        <v>0</v>
      </c>
      <c r="AM366" s="155">
        <f t="shared" si="520"/>
        <v>53787.733244363641</v>
      </c>
      <c r="AN366" s="172">
        <f>100%-AN324</f>
        <v>0.19506899546533529</v>
      </c>
      <c r="AO366" s="172"/>
    </row>
    <row r="367" spans="1:41" x14ac:dyDescent="0.15">
      <c r="A367" s="39" t="s">
        <v>101</v>
      </c>
      <c r="B367" s="39" t="s">
        <v>81</v>
      </c>
      <c r="G367" s="172"/>
      <c r="H367" s="155">
        <f>+(H$223+H$268*0.65)*$N367</f>
        <v>0</v>
      </c>
      <c r="I367" s="155">
        <f>+(I$223+I$268*0.65)*$N367</f>
        <v>0</v>
      </c>
      <c r="J367" s="155">
        <f>+(J$223+J$268*0.79)*$N367</f>
        <v>0</v>
      </c>
      <c r="K367" s="155">
        <f>+(K$223+K$268*0.65)*$N367</f>
        <v>0</v>
      </c>
      <c r="L367" s="155">
        <f>+(L$223+L$268*0.65)*$N367</f>
        <v>0</v>
      </c>
      <c r="M367" s="155">
        <f>+(M$223+M$268*0.79)*$N367</f>
        <v>0</v>
      </c>
      <c r="N367" s="172">
        <f>100%-N325</f>
        <v>0</v>
      </c>
      <c r="O367" s="155">
        <f t="shared" ref="O367:Y367" si="521">+(O$223+O$268*0.65)*$AA367</f>
        <v>0</v>
      </c>
      <c r="P367" s="155">
        <f t="shared" si="521"/>
        <v>0</v>
      </c>
      <c r="Q367" s="155">
        <f>+(Q$223+Q$268*0.79)*$AA367</f>
        <v>0</v>
      </c>
      <c r="R367" s="155">
        <f t="shared" si="521"/>
        <v>0</v>
      </c>
      <c r="S367" s="155">
        <f t="shared" si="521"/>
        <v>0</v>
      </c>
      <c r="T367" s="155">
        <f>+(T$223+T$268*0.79)*$AA367</f>
        <v>0</v>
      </c>
      <c r="U367" s="155">
        <f t="shared" si="521"/>
        <v>0</v>
      </c>
      <c r="V367" s="155">
        <f t="shared" si="521"/>
        <v>0</v>
      </c>
      <c r="W367" s="155">
        <f>+(W$223+W$268*0.79)*$AA367</f>
        <v>0</v>
      </c>
      <c r="X367" s="155">
        <f t="shared" si="521"/>
        <v>0</v>
      </c>
      <c r="Y367" s="155">
        <f t="shared" si="521"/>
        <v>0</v>
      </c>
      <c r="Z367" s="155">
        <f>+(Z$223+Z$268*0.79)*$AA367</f>
        <v>0</v>
      </c>
      <c r="AA367" s="172">
        <f>100%-AA325</f>
        <v>0</v>
      </c>
      <c r="AB367" s="155">
        <f t="shared" ref="AB367:AM367" si="522">+(AB$223+AB$268*0.65)*$AN367</f>
        <v>0</v>
      </c>
      <c r="AC367" s="155">
        <f t="shared" si="522"/>
        <v>0</v>
      </c>
      <c r="AD367" s="155">
        <f>+(AD$223+AD$268*0.79)*$AN367</f>
        <v>0</v>
      </c>
      <c r="AE367" s="155">
        <f t="shared" si="522"/>
        <v>0</v>
      </c>
      <c r="AF367" s="155">
        <f t="shared" si="522"/>
        <v>0</v>
      </c>
      <c r="AG367" s="155">
        <f t="shared" si="522"/>
        <v>0</v>
      </c>
      <c r="AH367" s="155">
        <f t="shared" si="522"/>
        <v>0</v>
      </c>
      <c r="AI367" s="155">
        <f t="shared" si="522"/>
        <v>0</v>
      </c>
      <c r="AJ367" s="155">
        <f t="shared" si="522"/>
        <v>0</v>
      </c>
      <c r="AK367" s="155">
        <f t="shared" si="522"/>
        <v>0</v>
      </c>
      <c r="AL367" s="155">
        <f t="shared" si="522"/>
        <v>0</v>
      </c>
      <c r="AM367" s="155">
        <f t="shared" si="522"/>
        <v>0</v>
      </c>
      <c r="AN367" s="172">
        <f>100%-AN325</f>
        <v>0</v>
      </c>
      <c r="AO367" s="172"/>
    </row>
    <row r="368" spans="1:41" x14ac:dyDescent="0.15">
      <c r="A368" s="39" t="s">
        <v>97</v>
      </c>
      <c r="G368" s="41"/>
      <c r="H368" s="155"/>
      <c r="J368" s="155">
        <f>-'Reg Asset and Liab 2018-2020'!K31*N368</f>
        <v>-2096.0659560293107</v>
      </c>
      <c r="M368" s="155">
        <f>-'Reg Asset and Liab 2018-2020'!N31*N368</f>
        <v>-2096.0659560293107</v>
      </c>
      <c r="N368" s="172">
        <f>100%-N326</f>
        <v>2.236389187831378E-2</v>
      </c>
      <c r="Q368" s="155">
        <f>-'Reg Asset and Liab 2018-2020'!$Q$31*AA368</f>
        <v>-541.88540972684916</v>
      </c>
      <c r="T368" s="155">
        <f>-'Reg Asset and Liab 2018-2020'!$T$31*AA368</f>
        <v>-541.88540972684916</v>
      </c>
      <c r="W368" s="155">
        <f>-'Reg Asset and Liab 2018-2020'!$W$31*AA368</f>
        <v>-541.88540972684916</v>
      </c>
      <c r="Z368" s="155">
        <f>-'Reg Asset and Liab 2018-2020'!$Z$31*AA368</f>
        <v>-541.88540972684916</v>
      </c>
      <c r="AA368" s="172">
        <f>100%-AA326</f>
        <v>6.3171518777551672E-3</v>
      </c>
      <c r="AD368" s="155">
        <f>-'Reg Asset and Liab 2018-2020'!$AC$31*AN368</f>
        <v>-76.462358427714207</v>
      </c>
      <c r="AG368" s="155">
        <f>-'Reg Asset and Liab 2018-2020'!$AF$31*AN368</f>
        <v>-76.462358427714207</v>
      </c>
      <c r="AJ368" s="155">
        <f>-'Reg Asset and Liab 2018-2020'!$AI$31*AN368</f>
        <v>-76.462358427714207</v>
      </c>
      <c r="AM368" s="155">
        <f>-'Reg Asset and Liab 2018-2020'!$AL$31*AN368</f>
        <v>-76.462358427714207</v>
      </c>
      <c r="AN368" s="172">
        <f>100%-AN326</f>
        <v>9.5624086651979745E-4</v>
      </c>
      <c r="AO368" s="41"/>
    </row>
    <row r="369" spans="1:41" x14ac:dyDescent="0.15">
      <c r="A369" s="39" t="s">
        <v>261</v>
      </c>
      <c r="G369" s="41"/>
      <c r="H369" s="155"/>
      <c r="J369" s="155">
        <f>-SUM(J365:J366)*1/(1-0.2495)</f>
        <v>-415471.79261465173</v>
      </c>
      <c r="M369" s="155">
        <f>-SUM(M365:M366)*1/(1-0.2495)</f>
        <v>-533119.632427715</v>
      </c>
      <c r="N369" s="41" t="s">
        <v>108</v>
      </c>
      <c r="O369" s="155">
        <f t="shared" ref="O369:AM369" si="523">-SUM(O365:O366)*1/(1-0.2495)</f>
        <v>0</v>
      </c>
      <c r="P369" s="155">
        <f t="shared" si="523"/>
        <v>0</v>
      </c>
      <c r="Q369" s="155">
        <f t="shared" si="523"/>
        <v>-718241.58386256022</v>
      </c>
      <c r="R369" s="155">
        <f t="shared" si="523"/>
        <v>-218291.66526027457</v>
      </c>
      <c r="S369" s="155">
        <f t="shared" si="523"/>
        <v>0</v>
      </c>
      <c r="T369" s="155">
        <f t="shared" si="523"/>
        <v>-503591.69442286796</v>
      </c>
      <c r="U369" s="155">
        <f t="shared" si="523"/>
        <v>0</v>
      </c>
      <c r="V369" s="155">
        <f t="shared" si="523"/>
        <v>0</v>
      </c>
      <c r="W369" s="155">
        <f t="shared" si="523"/>
        <v>-723704.37725859857</v>
      </c>
      <c r="X369" s="155">
        <f t="shared" si="523"/>
        <v>0</v>
      </c>
      <c r="Y369" s="155">
        <f t="shared" si="523"/>
        <v>0</v>
      </c>
      <c r="Z369" s="155">
        <f t="shared" si="523"/>
        <v>-723704.37725859857</v>
      </c>
      <c r="AA369" s="41" t="s">
        <v>108</v>
      </c>
      <c r="AB369" s="155">
        <f t="shared" si="523"/>
        <v>0</v>
      </c>
      <c r="AC369" s="155">
        <f t="shared" si="523"/>
        <v>0</v>
      </c>
      <c r="AD369" s="155">
        <f t="shared" si="523"/>
        <v>-771043.74390564521</v>
      </c>
      <c r="AE369" s="155">
        <f t="shared" si="523"/>
        <v>-234727.80704330522</v>
      </c>
      <c r="AF369" s="155">
        <f t="shared" si="523"/>
        <v>0</v>
      </c>
      <c r="AG369" s="155">
        <f t="shared" si="523"/>
        <v>-536315.93686233985</v>
      </c>
      <c r="AH369" s="155">
        <f t="shared" si="523"/>
        <v>0</v>
      </c>
      <c r="AI369" s="155">
        <f t="shared" si="523"/>
        <v>0</v>
      </c>
      <c r="AJ369" s="155">
        <f t="shared" si="523"/>
        <v>-771043.74390564521</v>
      </c>
      <c r="AK369" s="155">
        <f t="shared" si="523"/>
        <v>0</v>
      </c>
      <c r="AL369" s="155">
        <f t="shared" si="523"/>
        <v>0</v>
      </c>
      <c r="AM369" s="155">
        <f t="shared" si="523"/>
        <v>-771043.74390564521</v>
      </c>
      <c r="AN369" s="41" t="s">
        <v>108</v>
      </c>
      <c r="AO369" s="41"/>
    </row>
    <row r="370" spans="1:41" x14ac:dyDescent="0.15">
      <c r="A370" s="39" t="s">
        <v>262</v>
      </c>
      <c r="G370" s="41"/>
      <c r="H370" s="156"/>
      <c r="I370" s="156"/>
      <c r="J370" s="156"/>
      <c r="K370" s="156"/>
      <c r="L370" s="156"/>
      <c r="M370" s="156"/>
      <c r="N370" s="41" t="s">
        <v>108</v>
      </c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41" t="s">
        <v>108</v>
      </c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41" t="s">
        <v>108</v>
      </c>
      <c r="AO370" s="41"/>
    </row>
    <row r="371" spans="1:41" x14ac:dyDescent="0.15">
      <c r="G371" s="155"/>
      <c r="H371" s="155">
        <f t="shared" ref="H371:M371" si="524">SUM(H332:H370)</f>
        <v>0</v>
      </c>
      <c r="I371" s="155">
        <f t="shared" si="524"/>
        <v>0</v>
      </c>
      <c r="J371" s="155">
        <f t="shared" si="524"/>
        <v>-3679939.2647896698</v>
      </c>
      <c r="K371" s="155">
        <f t="shared" si="524"/>
        <v>0</v>
      </c>
      <c r="L371" s="155">
        <f t="shared" si="524"/>
        <v>0</v>
      </c>
      <c r="M371" s="155">
        <f t="shared" si="524"/>
        <v>-2356185.4003916066</v>
      </c>
      <c r="O371" s="155">
        <f t="shared" ref="O371:Z371" si="525">SUM(O332:O370)</f>
        <v>0</v>
      </c>
      <c r="P371" s="155">
        <f t="shared" si="525"/>
        <v>0</v>
      </c>
      <c r="Q371" s="155">
        <f t="shared" si="525"/>
        <v>-2171919.2674870789</v>
      </c>
      <c r="R371" s="155">
        <f t="shared" si="525"/>
        <v>-54463.770482438529</v>
      </c>
      <c r="S371" s="155">
        <f t="shared" si="525"/>
        <v>0</v>
      </c>
      <c r="T371" s="155">
        <f t="shared" si="525"/>
        <v>-2118364.1200680854</v>
      </c>
      <c r="U371" s="155">
        <f t="shared" si="525"/>
        <v>0</v>
      </c>
      <c r="V371" s="155">
        <f t="shared" si="525"/>
        <v>0</v>
      </c>
      <c r="W371" s="155">
        <f t="shared" si="525"/>
        <v>-2173282.2344245692</v>
      </c>
      <c r="X371" s="155">
        <f t="shared" si="525"/>
        <v>0</v>
      </c>
      <c r="Y371" s="155">
        <f t="shared" si="525"/>
        <v>0</v>
      </c>
      <c r="Z371" s="155">
        <f t="shared" si="525"/>
        <v>-2173282.2344125407</v>
      </c>
      <c r="AB371" s="155">
        <f t="shared" ref="AB371:AM371" si="526">SUM(AB332:AB370)</f>
        <v>0</v>
      </c>
      <c r="AC371" s="155">
        <f t="shared" si="526"/>
        <v>0</v>
      </c>
      <c r="AD371" s="155">
        <f t="shared" si="526"/>
        <v>-1773640.115625497</v>
      </c>
      <c r="AE371" s="155">
        <f t="shared" si="526"/>
        <v>-58564.587857304665</v>
      </c>
      <c r="AF371" s="155">
        <f t="shared" si="526"/>
        <v>0</v>
      </c>
      <c r="AG371" s="155">
        <f t="shared" si="526"/>
        <v>-1715075.5277681923</v>
      </c>
      <c r="AH371" s="155">
        <f t="shared" si="526"/>
        <v>0</v>
      </c>
      <c r="AI371" s="155">
        <f t="shared" si="526"/>
        <v>0</v>
      </c>
      <c r="AJ371" s="155">
        <f t="shared" si="526"/>
        <v>-1773640.115625497</v>
      </c>
      <c r="AK371" s="155">
        <f t="shared" si="526"/>
        <v>0</v>
      </c>
      <c r="AL371" s="155">
        <f t="shared" si="526"/>
        <v>0</v>
      </c>
      <c r="AM371" s="155">
        <f t="shared" si="526"/>
        <v>-1773640.115625497</v>
      </c>
      <c r="AO371" s="155"/>
    </row>
    <row r="372" spans="1:41" x14ac:dyDescent="0.15"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</row>
    <row r="373" spans="1:41" ht="9" thickBot="1" x14ac:dyDescent="0.2">
      <c r="A373" s="39" t="s">
        <v>110</v>
      </c>
      <c r="G373" s="155"/>
      <c r="H373" s="181">
        <f>SUM(H329,H371)</f>
        <v>-11185.59913482997</v>
      </c>
      <c r="I373" s="181">
        <f>SUM(I329,I371)</f>
        <v>-11185.59913482997</v>
      </c>
      <c r="J373" s="181">
        <f>SUM(J329,J371)</f>
        <v>-28010017.1403783</v>
      </c>
      <c r="K373" s="181">
        <f t="shared" ref="K373:AN373" si="527">SUM(K329,K371)</f>
        <v>-11185.59913482997</v>
      </c>
      <c r="L373" s="181">
        <f t="shared" si="527"/>
        <v>-11185.59913482997</v>
      </c>
      <c r="M373" s="181">
        <f t="shared" si="527"/>
        <v>-17742317.330941312</v>
      </c>
      <c r="N373" s="181">
        <f t="shared" si="527"/>
        <v>0</v>
      </c>
      <c r="O373" s="181">
        <f t="shared" si="527"/>
        <v>-11185.59913482997</v>
      </c>
      <c r="P373" s="181">
        <f t="shared" si="527"/>
        <v>-11185.59913482997</v>
      </c>
      <c r="Q373" s="181">
        <f t="shared" si="527"/>
        <v>-15394568.137889409</v>
      </c>
      <c r="R373" s="181">
        <f t="shared" si="527"/>
        <v>-291021.67048073839</v>
      </c>
      <c r="S373" s="181">
        <f t="shared" si="527"/>
        <v>-11185.59913482997</v>
      </c>
      <c r="T373" s="181">
        <f t="shared" si="527"/>
        <v>-16907008.480256088</v>
      </c>
      <c r="U373" s="181">
        <f t="shared" si="527"/>
        <v>-11185.59913482997</v>
      </c>
      <c r="V373" s="181">
        <f t="shared" si="527"/>
        <v>-11185.59913482997</v>
      </c>
      <c r="W373" s="181">
        <f t="shared" si="527"/>
        <v>-16110506.006362662</v>
      </c>
      <c r="X373" s="181">
        <f t="shared" si="527"/>
        <v>-11185.59913482997</v>
      </c>
      <c r="Y373" s="181">
        <f t="shared" si="527"/>
        <v>-11185.59913482997</v>
      </c>
      <c r="Z373" s="181">
        <f t="shared" si="527"/>
        <v>-16700973.07513861</v>
      </c>
      <c r="AA373" s="181">
        <f t="shared" si="527"/>
        <v>0</v>
      </c>
      <c r="AB373" s="181">
        <f t="shared" si="527"/>
        <v>-11185.59913482997</v>
      </c>
      <c r="AC373" s="181">
        <f t="shared" si="527"/>
        <v>-11185.59913482997</v>
      </c>
      <c r="AD373" s="181">
        <f t="shared" si="527"/>
        <v>-5493306.4272076134</v>
      </c>
      <c r="AE373" s="181">
        <f t="shared" si="527"/>
        <v>-622980.71953930194</v>
      </c>
      <c r="AF373" s="181">
        <f t="shared" si="527"/>
        <v>300384.52796612203</v>
      </c>
      <c r="AG373" s="181">
        <f t="shared" si="527"/>
        <v>-7450627.4941689055</v>
      </c>
      <c r="AH373" s="181">
        <f t="shared" si="527"/>
        <v>-11185.59913482997</v>
      </c>
      <c r="AI373" s="181">
        <f t="shared" si="527"/>
        <v>-11185.59913482997</v>
      </c>
      <c r="AJ373" s="181">
        <f t="shared" si="527"/>
        <v>-6313751.6144179301</v>
      </c>
      <c r="AK373" s="181">
        <f t="shared" si="527"/>
        <v>-11185.59913482997</v>
      </c>
      <c r="AL373" s="181">
        <f t="shared" si="527"/>
        <v>-11185.59913482997</v>
      </c>
      <c r="AM373" s="181">
        <f t="shared" si="527"/>
        <v>-7457540.4725500578</v>
      </c>
      <c r="AN373" s="181">
        <f t="shared" si="527"/>
        <v>0</v>
      </c>
      <c r="AO373" s="197"/>
    </row>
    <row r="374" spans="1:41" x14ac:dyDescent="0.15">
      <c r="G374" s="155"/>
      <c r="H374" s="155">
        <f>+H373-H276</f>
        <v>0</v>
      </c>
      <c r="I374" s="155">
        <f>+I373-I276</f>
        <v>0</v>
      </c>
      <c r="J374" s="155">
        <f>+J373-J276</f>
        <v>-2.619624137878418E-5</v>
      </c>
      <c r="K374" s="155">
        <f t="shared" ref="K374:AN374" si="528">+K373-K276</f>
        <v>0</v>
      </c>
      <c r="L374" s="155">
        <f t="shared" si="528"/>
        <v>0</v>
      </c>
      <c r="M374" s="155">
        <f t="shared" si="528"/>
        <v>0</v>
      </c>
      <c r="N374" s="155">
        <f t="shared" si="528"/>
        <v>0</v>
      </c>
      <c r="O374" s="155">
        <f t="shared" si="528"/>
        <v>0</v>
      </c>
      <c r="P374" s="155">
        <f t="shared" si="528"/>
        <v>0</v>
      </c>
      <c r="Q374" s="155">
        <f t="shared" si="528"/>
        <v>0</v>
      </c>
      <c r="R374" s="155">
        <f t="shared" si="528"/>
        <v>0</v>
      </c>
      <c r="S374" s="155">
        <f t="shared" si="528"/>
        <v>0</v>
      </c>
      <c r="T374" s="155">
        <f t="shared" si="528"/>
        <v>0</v>
      </c>
      <c r="U374" s="155">
        <f t="shared" si="528"/>
        <v>0</v>
      </c>
      <c r="V374" s="155">
        <f t="shared" si="528"/>
        <v>0</v>
      </c>
      <c r="W374" s="155">
        <f t="shared" si="528"/>
        <v>0</v>
      </c>
      <c r="X374" s="155">
        <f t="shared" si="528"/>
        <v>0</v>
      </c>
      <c r="Y374" s="155">
        <f t="shared" si="528"/>
        <v>0</v>
      </c>
      <c r="Z374" s="155">
        <f t="shared" si="528"/>
        <v>0</v>
      </c>
      <c r="AA374" s="155">
        <f t="shared" si="528"/>
        <v>0</v>
      </c>
      <c r="AB374" s="155">
        <f t="shared" si="528"/>
        <v>0</v>
      </c>
      <c r="AC374" s="155">
        <f t="shared" si="528"/>
        <v>0</v>
      </c>
      <c r="AD374" s="155">
        <f t="shared" si="528"/>
        <v>0</v>
      </c>
      <c r="AE374" s="155">
        <f t="shared" si="528"/>
        <v>0</v>
      </c>
      <c r="AF374" s="155">
        <f t="shared" si="528"/>
        <v>0</v>
      </c>
      <c r="AG374" s="155">
        <f t="shared" si="528"/>
        <v>0</v>
      </c>
      <c r="AH374" s="155">
        <f t="shared" si="528"/>
        <v>0</v>
      </c>
      <c r="AI374" s="155">
        <f t="shared" si="528"/>
        <v>0</v>
      </c>
      <c r="AJ374" s="155">
        <f t="shared" si="528"/>
        <v>0</v>
      </c>
      <c r="AK374" s="155">
        <f t="shared" si="528"/>
        <v>0</v>
      </c>
      <c r="AL374" s="155">
        <f t="shared" si="528"/>
        <v>0</v>
      </c>
      <c r="AM374" s="155">
        <f t="shared" si="528"/>
        <v>0</v>
      </c>
      <c r="AN374" s="155">
        <f t="shared" si="528"/>
        <v>0</v>
      </c>
      <c r="AO374" s="155"/>
    </row>
    <row r="375" spans="1:41" x14ac:dyDescent="0.15">
      <c r="G375" s="155"/>
      <c r="H375" s="155"/>
      <c r="AO375" s="155"/>
    </row>
    <row r="376" spans="1:41" x14ac:dyDescent="0.15">
      <c r="A376" s="39" t="s">
        <v>513</v>
      </c>
      <c r="G376" s="155"/>
      <c r="H376" s="155">
        <f>SUM(H282:H325)</f>
        <v>-11185.59913482997</v>
      </c>
      <c r="I376" s="155">
        <f>SUM(I282:I325)</f>
        <v>-11185.59913482997</v>
      </c>
      <c r="J376" s="155">
        <f>SUM(J282:J325)</f>
        <v>-22538708.047447897</v>
      </c>
      <c r="K376" s="155">
        <f t="shared" ref="K376:AM376" si="529">SUM(K282:K325)</f>
        <v>-11185.59913482997</v>
      </c>
      <c r="L376" s="155">
        <f t="shared" si="529"/>
        <v>-11185.59913482997</v>
      </c>
      <c r="M376" s="155">
        <f t="shared" si="529"/>
        <v>-13099715.149578132</v>
      </c>
      <c r="O376" s="155">
        <f t="shared" si="529"/>
        <v>-11185.59913482997</v>
      </c>
      <c r="P376" s="155">
        <f t="shared" si="529"/>
        <v>-11185.59913482997</v>
      </c>
      <c r="Q376" s="155">
        <f t="shared" si="529"/>
        <v>-10213822.330006177</v>
      </c>
      <c r="R376" s="155">
        <f t="shared" si="529"/>
        <v>666737.89504566765</v>
      </c>
      <c r="S376" s="155">
        <f t="shared" si="529"/>
        <v>-11185.59913482997</v>
      </c>
      <c r="T376" s="155">
        <f t="shared" si="529"/>
        <v>-12668043.865006832</v>
      </c>
      <c r="U376" s="155">
        <f t="shared" si="529"/>
        <v>-11185.59913482997</v>
      </c>
      <c r="V376" s="155">
        <f t="shared" si="529"/>
        <v>-11185.59913482997</v>
      </c>
      <c r="W376" s="155">
        <f t="shared" si="529"/>
        <v>-10905792.070241109</v>
      </c>
      <c r="X376" s="155">
        <f t="shared" si="529"/>
        <v>-11185.59913482997</v>
      </c>
      <c r="Y376" s="155">
        <f t="shared" si="529"/>
        <v>-11185.59913482997</v>
      </c>
      <c r="Z376" s="155">
        <f t="shared" si="529"/>
        <v>-11496259.139029084</v>
      </c>
      <c r="AB376" s="155">
        <f t="shared" si="529"/>
        <v>-11185.59913482997</v>
      </c>
      <c r="AC376" s="155">
        <f t="shared" si="529"/>
        <v>-11185.59913482997</v>
      </c>
      <c r="AD376" s="155">
        <f t="shared" si="529"/>
        <v>-506664.51998902182</v>
      </c>
      <c r="AE376" s="155">
        <f t="shared" si="529"/>
        <v>404162.64766155113</v>
      </c>
      <c r="AF376" s="155">
        <f t="shared" si="529"/>
        <v>300384.52796612203</v>
      </c>
      <c r="AG376" s="155">
        <f t="shared" si="529"/>
        <v>-3491128.9541511685</v>
      </c>
      <c r="AH376" s="155">
        <f t="shared" si="529"/>
        <v>-11185.59913482997</v>
      </c>
      <c r="AI376" s="155">
        <f t="shared" si="529"/>
        <v>-11185.59913482997</v>
      </c>
      <c r="AJ376" s="155">
        <f t="shared" si="529"/>
        <v>-1327109.7071993386</v>
      </c>
      <c r="AK376" s="155">
        <f t="shared" si="529"/>
        <v>-11185.59913482997</v>
      </c>
      <c r="AL376" s="155">
        <f t="shared" si="529"/>
        <v>-11185.59913482997</v>
      </c>
      <c r="AM376" s="155">
        <f t="shared" si="529"/>
        <v>-2470898.5653314665</v>
      </c>
      <c r="AO376" s="155"/>
    </row>
    <row r="377" spans="1:41" x14ac:dyDescent="0.15">
      <c r="A377" s="39" t="s">
        <v>514</v>
      </c>
      <c r="G377" s="155"/>
      <c r="H377" s="155">
        <f>SUM(H332:H367)</f>
        <v>0</v>
      </c>
      <c r="I377" s="155">
        <f>SUM(I332:I367)</f>
        <v>0</v>
      </c>
      <c r="J377" s="155">
        <f>SUM(J332:J367)</f>
        <v>-3262371.4062189888</v>
      </c>
      <c r="K377" s="155">
        <f t="shared" ref="K377:AM377" si="530">SUM(K332:K367)</f>
        <v>0</v>
      </c>
      <c r="L377" s="155">
        <f t="shared" si="530"/>
        <v>0</v>
      </c>
      <c r="M377" s="155">
        <f t="shared" si="530"/>
        <v>-1820969.7020078625</v>
      </c>
      <c r="O377" s="155">
        <f t="shared" si="530"/>
        <v>0</v>
      </c>
      <c r="P377" s="155">
        <f t="shared" si="530"/>
        <v>0</v>
      </c>
      <c r="Q377" s="155">
        <f t="shared" si="530"/>
        <v>-1453135.7982147918</v>
      </c>
      <c r="R377" s="155">
        <f t="shared" si="530"/>
        <v>163827.89477783605</v>
      </c>
      <c r="S377" s="155">
        <f t="shared" si="530"/>
        <v>0</v>
      </c>
      <c r="T377" s="155">
        <f t="shared" si="530"/>
        <v>-1614230.5402354905</v>
      </c>
      <c r="U377" s="155">
        <f t="shared" si="530"/>
        <v>0</v>
      </c>
      <c r="V377" s="155">
        <f t="shared" si="530"/>
        <v>0</v>
      </c>
      <c r="W377" s="155">
        <f t="shared" si="530"/>
        <v>-1449035.9717562438</v>
      </c>
      <c r="X377" s="155">
        <f t="shared" si="530"/>
        <v>0</v>
      </c>
      <c r="Y377" s="155">
        <f t="shared" si="530"/>
        <v>0</v>
      </c>
      <c r="Z377" s="155">
        <f t="shared" si="530"/>
        <v>-1449035.9717442153</v>
      </c>
      <c r="AB377" s="155">
        <f t="shared" si="530"/>
        <v>0</v>
      </c>
      <c r="AC377" s="155">
        <f t="shared" si="530"/>
        <v>0</v>
      </c>
      <c r="AD377" s="155">
        <f t="shared" si="530"/>
        <v>-1002519.9093614242</v>
      </c>
      <c r="AE377" s="155">
        <f t="shared" si="530"/>
        <v>176163.21918600056</v>
      </c>
      <c r="AF377" s="155">
        <f t="shared" si="530"/>
        <v>0</v>
      </c>
      <c r="AG377" s="155">
        <f t="shared" si="530"/>
        <v>-1178683.1285474249</v>
      </c>
      <c r="AH377" s="155">
        <f t="shared" si="530"/>
        <v>0</v>
      </c>
      <c r="AI377" s="155">
        <f t="shared" si="530"/>
        <v>0</v>
      </c>
      <c r="AJ377" s="155">
        <f t="shared" si="530"/>
        <v>-1002519.9093614242</v>
      </c>
      <c r="AK377" s="155">
        <f t="shared" si="530"/>
        <v>0</v>
      </c>
      <c r="AL377" s="155">
        <f t="shared" si="530"/>
        <v>0</v>
      </c>
      <c r="AM377" s="155">
        <f t="shared" si="530"/>
        <v>-1002519.9093614242</v>
      </c>
      <c r="AO377" s="155"/>
    </row>
    <row r="378" spans="1:41" ht="9" thickBot="1" x14ac:dyDescent="0.2">
      <c r="G378" s="155"/>
      <c r="H378" s="186">
        <f>SUM(H376:H377)</f>
        <v>-11185.59913482997</v>
      </c>
      <c r="I378" s="186">
        <f>SUM(I376:I377)</f>
        <v>-11185.59913482997</v>
      </c>
      <c r="J378" s="186">
        <f>SUM(J376:J377)</f>
        <v>-25801079.453666888</v>
      </c>
      <c r="K378" s="186">
        <f t="shared" ref="K378:AM378" si="531">SUM(K376:K377)</f>
        <v>-11185.59913482997</v>
      </c>
      <c r="L378" s="186">
        <f t="shared" si="531"/>
        <v>-11185.59913482997</v>
      </c>
      <c r="M378" s="186">
        <f t="shared" si="531"/>
        <v>-14920684.851585994</v>
      </c>
      <c r="N378" s="186"/>
      <c r="O378" s="186">
        <f t="shared" si="531"/>
        <v>-11185.59913482997</v>
      </c>
      <c r="P378" s="186">
        <f t="shared" si="531"/>
        <v>-11185.59913482997</v>
      </c>
      <c r="Q378" s="186">
        <f t="shared" si="531"/>
        <v>-11666958.128220968</v>
      </c>
      <c r="R378" s="186">
        <f t="shared" si="531"/>
        <v>830565.7898235037</v>
      </c>
      <c r="S378" s="186">
        <f t="shared" si="531"/>
        <v>-11185.59913482997</v>
      </c>
      <c r="T378" s="186">
        <f t="shared" si="531"/>
        <v>-14282274.405242324</v>
      </c>
      <c r="U378" s="186">
        <f t="shared" si="531"/>
        <v>-11185.59913482997</v>
      </c>
      <c r="V378" s="186">
        <f t="shared" si="531"/>
        <v>-11185.59913482997</v>
      </c>
      <c r="W378" s="186">
        <f t="shared" si="531"/>
        <v>-12354828.041997353</v>
      </c>
      <c r="X378" s="186">
        <f t="shared" si="531"/>
        <v>-11185.59913482997</v>
      </c>
      <c r="Y378" s="186">
        <f t="shared" si="531"/>
        <v>-11185.59913482997</v>
      </c>
      <c r="Z378" s="186">
        <f t="shared" si="531"/>
        <v>-12945295.110773299</v>
      </c>
      <c r="AA378" s="186"/>
      <c r="AB378" s="186">
        <f t="shared" si="531"/>
        <v>-11185.59913482997</v>
      </c>
      <c r="AC378" s="186">
        <f t="shared" si="531"/>
        <v>-11185.59913482997</v>
      </c>
      <c r="AD378" s="186">
        <f t="shared" si="531"/>
        <v>-1509184.429350446</v>
      </c>
      <c r="AE378" s="186">
        <f t="shared" si="531"/>
        <v>580325.86684755166</v>
      </c>
      <c r="AF378" s="186">
        <f t="shared" si="531"/>
        <v>300384.52796612203</v>
      </c>
      <c r="AG378" s="186">
        <f t="shared" si="531"/>
        <v>-4669812.0826985929</v>
      </c>
      <c r="AH378" s="186">
        <f t="shared" si="531"/>
        <v>-11185.59913482997</v>
      </c>
      <c r="AI378" s="186">
        <f t="shared" si="531"/>
        <v>-11185.59913482997</v>
      </c>
      <c r="AJ378" s="186">
        <f t="shared" si="531"/>
        <v>-2329629.6165607627</v>
      </c>
      <c r="AK378" s="186">
        <f t="shared" si="531"/>
        <v>-11185.59913482997</v>
      </c>
      <c r="AL378" s="186">
        <f t="shared" si="531"/>
        <v>-11185.59913482997</v>
      </c>
      <c r="AM378" s="186">
        <f t="shared" si="531"/>
        <v>-3473418.4746928904</v>
      </c>
      <c r="AN378" s="186"/>
      <c r="AO378" s="187"/>
    </row>
    <row r="379" spans="1:41" x14ac:dyDescent="0.15">
      <c r="G379" s="155"/>
      <c r="H379" s="155">
        <f>H378-H276+H274</f>
        <v>0</v>
      </c>
      <c r="I379" s="155">
        <f>I378-I276+I274</f>
        <v>0</v>
      </c>
      <c r="J379" s="155">
        <f>J378-J276+J274</f>
        <v>-7.9162418842315674E-9</v>
      </c>
      <c r="K379" s="155">
        <f t="shared" ref="K379:AM379" si="532">K378-K276+K274</f>
        <v>0</v>
      </c>
      <c r="L379" s="155">
        <f t="shared" si="532"/>
        <v>0</v>
      </c>
      <c r="M379" s="155">
        <f t="shared" si="532"/>
        <v>6.0535967350006104E-9</v>
      </c>
      <c r="O379" s="155">
        <f t="shared" si="532"/>
        <v>0</v>
      </c>
      <c r="P379" s="155">
        <f t="shared" si="532"/>
        <v>0</v>
      </c>
      <c r="Q379" s="155">
        <f t="shared" si="532"/>
        <v>0</v>
      </c>
      <c r="R379" s="155">
        <f t="shared" si="532"/>
        <v>0</v>
      </c>
      <c r="S379" s="155">
        <f t="shared" si="532"/>
        <v>0</v>
      </c>
      <c r="T379" s="155">
        <f t="shared" si="532"/>
        <v>0</v>
      </c>
      <c r="U379" s="155">
        <f t="shared" si="532"/>
        <v>0</v>
      </c>
      <c r="V379" s="155">
        <f t="shared" si="532"/>
        <v>0</v>
      </c>
      <c r="W379" s="155">
        <f t="shared" si="532"/>
        <v>0</v>
      </c>
      <c r="X379" s="155">
        <f t="shared" si="532"/>
        <v>0</v>
      </c>
      <c r="Y379" s="155">
        <f t="shared" si="532"/>
        <v>0</v>
      </c>
      <c r="Z379" s="155">
        <f t="shared" si="532"/>
        <v>4.1909515857696533E-9</v>
      </c>
      <c r="AB379" s="155">
        <f t="shared" si="532"/>
        <v>0</v>
      </c>
      <c r="AC379" s="155">
        <f t="shared" si="532"/>
        <v>0</v>
      </c>
      <c r="AD379" s="155">
        <f t="shared" si="532"/>
        <v>0</v>
      </c>
      <c r="AE379" s="155">
        <f t="shared" si="532"/>
        <v>0</v>
      </c>
      <c r="AF379" s="155">
        <f t="shared" si="532"/>
        <v>0</v>
      </c>
      <c r="AG379" s="155">
        <f t="shared" si="532"/>
        <v>-4.1909515857696533E-9</v>
      </c>
      <c r="AH379" s="155">
        <f t="shared" si="532"/>
        <v>0</v>
      </c>
      <c r="AI379" s="155">
        <f t="shared" si="532"/>
        <v>0</v>
      </c>
      <c r="AJ379" s="155">
        <f t="shared" si="532"/>
        <v>-4.1909515857696533E-9</v>
      </c>
      <c r="AK379" s="155">
        <f t="shared" si="532"/>
        <v>0</v>
      </c>
      <c r="AL379" s="155">
        <f t="shared" si="532"/>
        <v>0</v>
      </c>
      <c r="AM379" s="155">
        <f t="shared" si="532"/>
        <v>-4.1909515857696533E-9</v>
      </c>
      <c r="AO379" s="155"/>
    </row>
    <row r="380" spans="1:41" x14ac:dyDescent="0.15">
      <c r="G380" s="155"/>
      <c r="H380" s="155"/>
      <c r="AO380" s="155"/>
    </row>
    <row r="381" spans="1:41" x14ac:dyDescent="0.15">
      <c r="A381" s="39" t="s">
        <v>1024</v>
      </c>
      <c r="G381" s="155"/>
      <c r="H381" s="166">
        <v>11.185600000000001</v>
      </c>
      <c r="I381" s="166">
        <v>11.185600000000001</v>
      </c>
      <c r="J381" s="166">
        <v>22538.707816692633</v>
      </c>
      <c r="K381" s="166">
        <v>11.185600000000001</v>
      </c>
      <c r="L381" s="166">
        <v>11.185600000000001</v>
      </c>
      <c r="M381" s="166">
        <v>13099.715165639755</v>
      </c>
      <c r="N381" s="166"/>
      <c r="O381" s="166">
        <v>11.185600000000001</v>
      </c>
      <c r="P381" s="166">
        <v>11.185600000000001</v>
      </c>
      <c r="Q381" s="166">
        <v>10213.822333989207</v>
      </c>
      <c r="R381" s="166">
        <v>-666.73789418049762</v>
      </c>
      <c r="S381" s="166">
        <v>11.185600000000001</v>
      </c>
      <c r="T381" s="166">
        <v>12668.043869014891</v>
      </c>
      <c r="U381" s="166">
        <v>11.185600000000001</v>
      </c>
      <c r="V381" s="166">
        <v>11.185600000000001</v>
      </c>
      <c r="W381" s="166">
        <v>10905.792074321998</v>
      </c>
      <c r="X381" s="166">
        <v>11.185600000000001</v>
      </c>
      <c r="Y381" s="166">
        <v>11.185600000000001</v>
      </c>
      <c r="Z381" s="166">
        <v>11496.259143189396</v>
      </c>
      <c r="AA381" s="166"/>
      <c r="AB381" s="166">
        <v>11.185600000000001</v>
      </c>
      <c r="AC381" s="166">
        <v>11.185600000000001</v>
      </c>
      <c r="AD381" s="166">
        <v>506.66451986969992</v>
      </c>
      <c r="AE381" s="166">
        <v>-404.16264679638107</v>
      </c>
      <c r="AF381" s="166">
        <v>-300.38452710095203</v>
      </c>
      <c r="AG381" s="166">
        <v>3491.1289540318458</v>
      </c>
      <c r="AH381" s="166">
        <v>11.185600000000001</v>
      </c>
      <c r="AI381" s="166">
        <v>11.185600000000001</v>
      </c>
      <c r="AJ381" s="166">
        <v>1327.1097070800172</v>
      </c>
      <c r="AK381" s="166">
        <v>11.185600000000001</v>
      </c>
      <c r="AL381" s="166">
        <v>11.185600000000001</v>
      </c>
      <c r="AM381" s="166">
        <v>2470.8985652121446</v>
      </c>
      <c r="AN381" s="166"/>
      <c r="AO381" s="155"/>
    </row>
    <row r="382" spans="1:41" x14ac:dyDescent="0.15">
      <c r="A382" s="39" t="s">
        <v>1025</v>
      </c>
      <c r="G382" s="155"/>
      <c r="H382" s="166">
        <v>0</v>
      </c>
      <c r="I382" s="166">
        <v>0</v>
      </c>
      <c r="J382" s="166">
        <v>3262.3713961919166</v>
      </c>
      <c r="K382" s="166">
        <v>0</v>
      </c>
      <c r="L382" s="166">
        <v>0</v>
      </c>
      <c r="M382" s="166">
        <v>1820.9696851639171</v>
      </c>
      <c r="N382" s="166"/>
      <c r="O382" s="166">
        <v>0</v>
      </c>
      <c r="P382" s="166">
        <v>0</v>
      </c>
      <c r="Q382" s="166">
        <v>1453.1357934494288</v>
      </c>
      <c r="R382" s="166">
        <v>-163.82789477783604</v>
      </c>
      <c r="S382" s="166">
        <v>0</v>
      </c>
      <c r="T382" s="166">
        <v>1614.2305354739181</v>
      </c>
      <c r="U382" s="166">
        <v>0</v>
      </c>
      <c r="V382" s="166">
        <v>0</v>
      </c>
      <c r="W382" s="166">
        <v>1449.0359670057021</v>
      </c>
      <c r="X382" s="166">
        <v>0</v>
      </c>
      <c r="Y382" s="166">
        <v>0</v>
      </c>
      <c r="Z382" s="166">
        <v>1449.0359670057021</v>
      </c>
      <c r="AA382" s="166"/>
      <c r="AB382" s="166">
        <v>0</v>
      </c>
      <c r="AC382" s="166">
        <v>0</v>
      </c>
      <c r="AD382" s="166">
        <v>1002.5199086984136</v>
      </c>
      <c r="AE382" s="166">
        <v>-176.16321918600056</v>
      </c>
      <c r="AF382" s="166">
        <v>0</v>
      </c>
      <c r="AG382" s="166">
        <v>1178.6831278844138</v>
      </c>
      <c r="AH382" s="166">
        <v>0</v>
      </c>
      <c r="AI382" s="166">
        <v>0</v>
      </c>
      <c r="AJ382" s="166">
        <v>1002.5199086984136</v>
      </c>
      <c r="AK382" s="166">
        <v>0</v>
      </c>
      <c r="AL382" s="166">
        <v>0</v>
      </c>
      <c r="AM382" s="166">
        <v>1002.5199086984136</v>
      </c>
      <c r="AN382" s="166"/>
      <c r="AO382" s="155"/>
    </row>
    <row r="383" spans="1:41" ht="9" thickBot="1" x14ac:dyDescent="0.2">
      <c r="G383" s="155"/>
      <c r="H383" s="198">
        <f>SUM(H381:H382)</f>
        <v>11.185600000000001</v>
      </c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55"/>
    </row>
    <row r="384" spans="1:41" x14ac:dyDescent="0.15">
      <c r="G384" s="155"/>
      <c r="H384" s="155">
        <f>+H376+H381*1000</f>
        <v>8.6517003001063131E-4</v>
      </c>
      <c r="I384" s="155">
        <f t="shared" ref="I384:AN384" si="533">+I376+I381*1000</f>
        <v>8.6517003001063131E-4</v>
      </c>
      <c r="J384" s="155">
        <f>+J376+J381*1000</f>
        <v>-0.230755265802145</v>
      </c>
      <c r="K384" s="155">
        <f t="shared" si="533"/>
        <v>8.6517003001063131E-4</v>
      </c>
      <c r="L384" s="155">
        <f t="shared" si="533"/>
        <v>8.6517003001063131E-4</v>
      </c>
      <c r="M384" s="155">
        <f t="shared" si="533"/>
        <v>1.6061622649431229E-2</v>
      </c>
      <c r="N384" s="155">
        <f t="shared" si="533"/>
        <v>0</v>
      </c>
      <c r="O384" s="155">
        <f t="shared" si="533"/>
        <v>8.6517003001063131E-4</v>
      </c>
      <c r="P384" s="155">
        <f t="shared" si="533"/>
        <v>8.6517003001063131E-4</v>
      </c>
      <c r="Q384" s="155">
        <f t="shared" si="533"/>
        <v>3.9830300956964493E-3</v>
      </c>
      <c r="R384" s="155">
        <f t="shared" si="533"/>
        <v>8.6517003364861012E-4</v>
      </c>
      <c r="S384" s="155">
        <f t="shared" si="533"/>
        <v>8.6517003001063131E-4</v>
      </c>
      <c r="T384" s="155">
        <f t="shared" si="533"/>
        <v>4.0080584585666656E-3</v>
      </c>
      <c r="U384" s="155">
        <f t="shared" si="533"/>
        <v>8.6517003001063131E-4</v>
      </c>
      <c r="V384" s="155">
        <f t="shared" si="533"/>
        <v>8.6517003001063131E-4</v>
      </c>
      <c r="W384" s="155">
        <f t="shared" si="533"/>
        <v>4.0808897465467453E-3</v>
      </c>
      <c r="X384" s="155">
        <f t="shared" si="533"/>
        <v>8.6517003001063131E-4</v>
      </c>
      <c r="Y384" s="155">
        <f t="shared" si="533"/>
        <v>8.6517003001063131E-4</v>
      </c>
      <c r="Z384" s="155">
        <f t="shared" si="533"/>
        <v>4.1603129357099533E-3</v>
      </c>
      <c r="AA384" s="155">
        <f t="shared" si="533"/>
        <v>0</v>
      </c>
      <c r="AB384" s="155">
        <f t="shared" si="533"/>
        <v>8.6517003001063131E-4</v>
      </c>
      <c r="AC384" s="155">
        <f t="shared" si="533"/>
        <v>8.6517003001063131E-4</v>
      </c>
      <c r="AD384" s="155">
        <f t="shared" si="533"/>
        <v>-1.1932192137464881E-4</v>
      </c>
      <c r="AE384" s="155">
        <f t="shared" si="533"/>
        <v>8.6517009185627103E-4</v>
      </c>
      <c r="AF384" s="155">
        <f t="shared" si="533"/>
        <v>8.651699754409492E-4</v>
      </c>
      <c r="AG384" s="155">
        <f t="shared" si="533"/>
        <v>-1.1932291090488434E-4</v>
      </c>
      <c r="AH384" s="155">
        <f t="shared" si="533"/>
        <v>8.6517003001063131E-4</v>
      </c>
      <c r="AI384" s="155">
        <f t="shared" si="533"/>
        <v>8.6517003001063131E-4</v>
      </c>
      <c r="AJ384" s="155">
        <f t="shared" si="533"/>
        <v>-1.1932151392102242E-4</v>
      </c>
      <c r="AK384" s="155">
        <f t="shared" si="533"/>
        <v>8.6517003001063131E-4</v>
      </c>
      <c r="AL384" s="155">
        <f t="shared" si="533"/>
        <v>8.6517003001063131E-4</v>
      </c>
      <c r="AM384" s="155">
        <f t="shared" si="533"/>
        <v>-1.1932197958230972E-4</v>
      </c>
      <c r="AN384" s="155">
        <f t="shared" si="533"/>
        <v>0</v>
      </c>
      <c r="AO384" s="155"/>
    </row>
    <row r="385" spans="1:41" x14ac:dyDescent="0.15">
      <c r="G385" s="155"/>
      <c r="H385" s="155">
        <f>+H377+H382*1000</f>
        <v>0</v>
      </c>
      <c r="I385" s="155">
        <f t="shared" ref="I385:AN385" si="534">+I377+I382*1000</f>
        <v>0</v>
      </c>
      <c r="J385" s="155">
        <f>+J377+J382*1000</f>
        <v>-1.0027072392404079E-2</v>
      </c>
      <c r="K385" s="155">
        <f t="shared" si="534"/>
        <v>0</v>
      </c>
      <c r="L385" s="155">
        <f t="shared" si="534"/>
        <v>0</v>
      </c>
      <c r="M385" s="155">
        <f t="shared" si="534"/>
        <v>-1.6843945486471057E-2</v>
      </c>
      <c r="N385" s="155">
        <f t="shared" si="534"/>
        <v>0</v>
      </c>
      <c r="O385" s="155">
        <f t="shared" si="534"/>
        <v>0</v>
      </c>
      <c r="P385" s="155">
        <f t="shared" si="534"/>
        <v>0</v>
      </c>
      <c r="Q385" s="155">
        <f t="shared" si="534"/>
        <v>-4.7653629444539547E-3</v>
      </c>
      <c r="R385" s="155">
        <f t="shared" si="534"/>
        <v>0</v>
      </c>
      <c r="S385" s="155">
        <f t="shared" si="534"/>
        <v>0</v>
      </c>
      <c r="T385" s="155">
        <f t="shared" si="534"/>
        <v>-4.7615724615752697E-3</v>
      </c>
      <c r="U385" s="155">
        <f t="shared" si="534"/>
        <v>0</v>
      </c>
      <c r="V385" s="155">
        <f t="shared" si="534"/>
        <v>0</v>
      </c>
      <c r="W385" s="155">
        <f t="shared" si="534"/>
        <v>-4.7505416441708803E-3</v>
      </c>
      <c r="X385" s="155">
        <f t="shared" si="534"/>
        <v>0</v>
      </c>
      <c r="Y385" s="155">
        <f t="shared" si="534"/>
        <v>0</v>
      </c>
      <c r="Z385" s="155">
        <f t="shared" si="534"/>
        <v>-4.7385131474584341E-3</v>
      </c>
      <c r="AA385" s="155">
        <f t="shared" si="534"/>
        <v>0</v>
      </c>
      <c r="AB385" s="155">
        <f t="shared" si="534"/>
        <v>0</v>
      </c>
      <c r="AC385" s="155">
        <f t="shared" si="534"/>
        <v>0</v>
      </c>
      <c r="AD385" s="155">
        <f t="shared" si="534"/>
        <v>-6.6301051992923021E-4</v>
      </c>
      <c r="AE385" s="155">
        <f t="shared" si="534"/>
        <v>0</v>
      </c>
      <c r="AF385" s="155">
        <f t="shared" si="534"/>
        <v>0</v>
      </c>
      <c r="AG385" s="155">
        <f t="shared" si="534"/>
        <v>-6.6301110200583935E-4</v>
      </c>
      <c r="AH385" s="155">
        <f t="shared" si="534"/>
        <v>0</v>
      </c>
      <c r="AI385" s="155">
        <f t="shared" si="534"/>
        <v>0</v>
      </c>
      <c r="AJ385" s="155">
        <f t="shared" si="534"/>
        <v>-6.6301051992923021E-4</v>
      </c>
      <c r="AK385" s="155">
        <f t="shared" si="534"/>
        <v>0</v>
      </c>
      <c r="AL385" s="155">
        <f t="shared" si="534"/>
        <v>0</v>
      </c>
      <c r="AM385" s="155">
        <f t="shared" si="534"/>
        <v>-6.6301051992923021E-4</v>
      </c>
      <c r="AN385" s="155">
        <f t="shared" si="534"/>
        <v>0</v>
      </c>
      <c r="AO385" s="155"/>
    </row>
    <row r="386" spans="1:41" x14ac:dyDescent="0.15">
      <c r="E386" s="199"/>
      <c r="F386" s="199"/>
      <c r="G386" s="199"/>
      <c r="H386" s="199"/>
      <c r="I386" s="199"/>
      <c r="N386" s="199"/>
      <c r="AO386" s="155"/>
    </row>
    <row r="387" spans="1:41" x14ac:dyDescent="0.15">
      <c r="A387" s="39" t="s">
        <v>58</v>
      </c>
      <c r="G387" s="41">
        <f>+N387</f>
        <v>1</v>
      </c>
      <c r="H387" s="155"/>
      <c r="J387" s="155">
        <f>+J176*$G387</f>
        <v>3669551.4145359984</v>
      </c>
      <c r="M387" s="155">
        <f t="shared" ref="M387:M425" si="535">+M176*$N387</f>
        <v>3669551.4145359984</v>
      </c>
      <c r="N387" s="41">
        <f t="shared" ref="N387:N411" si="536">VLOOKUP(A387,$A$282:$N$320,14,FALSE)</f>
        <v>1</v>
      </c>
      <c r="Q387" s="155">
        <f t="shared" ref="Q387:Q425" si="537">+Q176*$AA477</f>
        <v>-1303328.5243455623</v>
      </c>
      <c r="T387" s="155">
        <f t="shared" ref="T387:T425" si="538">+T176*$AA477</f>
        <v>-1303328.5243455623</v>
      </c>
      <c r="W387" s="155">
        <f t="shared" ref="W387:W425" si="539">+W176*$AA477</f>
        <v>-1303328.5243455623</v>
      </c>
      <c r="Z387" s="155">
        <f t="shared" ref="Z387:Z425" si="540">+Z176*$AA477</f>
        <v>-1303328.5243455623</v>
      </c>
      <c r="AD387" s="155">
        <f>+AD176*$AN387</f>
        <v>-61325.195435006208</v>
      </c>
      <c r="AG387" s="155">
        <f>+AG176*$AN387</f>
        <v>-61325.195435006208</v>
      </c>
      <c r="AJ387" s="155">
        <f>+AJ176*$AN387</f>
        <v>-61325.195435006208</v>
      </c>
      <c r="AM387" s="155">
        <f>+AM176*$AN387</f>
        <v>-61325.195435006208</v>
      </c>
      <c r="AN387" s="41">
        <f>VLOOKUP(A387,$A$282:$AN$320,40,FALSE)</f>
        <v>1</v>
      </c>
      <c r="AO387" s="155"/>
    </row>
    <row r="388" spans="1:41" x14ac:dyDescent="0.15">
      <c r="A388" s="39" t="s">
        <v>90</v>
      </c>
      <c r="G388" s="41">
        <f t="shared" ref="G388:G425" si="541">+N388</f>
        <v>0</v>
      </c>
      <c r="H388" s="155"/>
      <c r="J388" s="155">
        <f t="shared" ref="J388:J425" si="542">+J177*$G388</f>
        <v>0</v>
      </c>
      <c r="M388" s="155">
        <f t="shared" si="535"/>
        <v>0</v>
      </c>
      <c r="N388" s="41">
        <f t="shared" si="536"/>
        <v>0</v>
      </c>
      <c r="Q388" s="155">
        <f t="shared" si="537"/>
        <v>0</v>
      </c>
      <c r="T388" s="155">
        <f t="shared" si="538"/>
        <v>0</v>
      </c>
      <c r="W388" s="155">
        <f t="shared" si="539"/>
        <v>0</v>
      </c>
      <c r="Z388" s="155">
        <f t="shared" si="540"/>
        <v>0</v>
      </c>
      <c r="AD388" s="155">
        <f t="shared" ref="AD388:AD425" si="543">+AD177*$AN388</f>
        <v>0</v>
      </c>
      <c r="AG388" s="155">
        <f t="shared" ref="AG388:AG425" si="544">+AG177*$AN388</f>
        <v>0</v>
      </c>
      <c r="AJ388" s="155">
        <f t="shared" ref="AJ388:AJ425" si="545">+AJ177*$AN388</f>
        <v>0</v>
      </c>
      <c r="AM388" s="155">
        <f t="shared" ref="AM388:AM425" si="546">+AM177*$AN388</f>
        <v>0</v>
      </c>
      <c r="AN388" s="41">
        <f t="shared" ref="AN388:AN425" si="547">VLOOKUP(A388,$A$282:$AN$320,40,FALSE)</f>
        <v>0</v>
      </c>
      <c r="AO388" s="155"/>
    </row>
    <row r="389" spans="1:41" x14ac:dyDescent="0.15">
      <c r="A389" s="39" t="s">
        <v>39</v>
      </c>
      <c r="G389" s="41">
        <f t="shared" si="541"/>
        <v>1</v>
      </c>
      <c r="H389" s="155"/>
      <c r="J389" s="155">
        <f t="shared" si="542"/>
        <v>201303.09</v>
      </c>
      <c r="M389" s="155">
        <f t="shared" si="535"/>
        <v>201303.09</v>
      </c>
      <c r="N389" s="41">
        <f t="shared" si="536"/>
        <v>1</v>
      </c>
      <c r="Q389" s="155">
        <f t="shared" si="537"/>
        <v>15484.850000000022</v>
      </c>
      <c r="T389" s="155">
        <f t="shared" si="538"/>
        <v>15484.850000000022</v>
      </c>
      <c r="W389" s="155">
        <f t="shared" si="539"/>
        <v>15484.850000000022</v>
      </c>
      <c r="Z389" s="155">
        <f t="shared" si="540"/>
        <v>15484.850000000022</v>
      </c>
      <c r="AD389" s="155">
        <f t="shared" si="543"/>
        <v>-77424.269999999975</v>
      </c>
      <c r="AG389" s="155">
        <f t="shared" si="544"/>
        <v>-77424.269999999975</v>
      </c>
      <c r="AJ389" s="155">
        <f t="shared" si="545"/>
        <v>-77424.269999999975</v>
      </c>
      <c r="AM389" s="155">
        <f t="shared" si="546"/>
        <v>-77424.269999999975</v>
      </c>
      <c r="AN389" s="41">
        <f t="shared" si="547"/>
        <v>1</v>
      </c>
      <c r="AO389" s="155"/>
    </row>
    <row r="390" spans="1:41" x14ac:dyDescent="0.15">
      <c r="A390" s="39" t="s">
        <v>88</v>
      </c>
      <c r="G390" s="41">
        <f t="shared" si="541"/>
        <v>0</v>
      </c>
      <c r="H390" s="155"/>
      <c r="J390" s="155">
        <f t="shared" si="542"/>
        <v>0</v>
      </c>
      <c r="M390" s="155">
        <f t="shared" si="535"/>
        <v>0</v>
      </c>
      <c r="N390" s="41">
        <f t="shared" si="536"/>
        <v>0</v>
      </c>
      <c r="Q390" s="155">
        <f t="shared" si="537"/>
        <v>0</v>
      </c>
      <c r="T390" s="155">
        <f t="shared" si="538"/>
        <v>0</v>
      </c>
      <c r="W390" s="155">
        <f t="shared" si="539"/>
        <v>0</v>
      </c>
      <c r="Z390" s="155">
        <f t="shared" si="540"/>
        <v>0</v>
      </c>
      <c r="AD390" s="155">
        <f t="shared" si="543"/>
        <v>0</v>
      </c>
      <c r="AG390" s="155">
        <f t="shared" si="544"/>
        <v>0</v>
      </c>
      <c r="AJ390" s="155">
        <f t="shared" si="545"/>
        <v>0</v>
      </c>
      <c r="AM390" s="155">
        <f t="shared" si="546"/>
        <v>0</v>
      </c>
      <c r="AN390" s="41">
        <f t="shared" si="547"/>
        <v>0</v>
      </c>
      <c r="AO390" s="155"/>
    </row>
    <row r="391" spans="1:41" x14ac:dyDescent="0.15">
      <c r="A391" s="39" t="s">
        <v>37</v>
      </c>
      <c r="G391" s="41">
        <f t="shared" si="541"/>
        <v>1</v>
      </c>
      <c r="H391" s="155"/>
      <c r="J391" s="155">
        <f t="shared" si="542"/>
        <v>588508.31999999995</v>
      </c>
      <c r="M391" s="155">
        <f t="shared" si="535"/>
        <v>588508.31999999995</v>
      </c>
      <c r="N391" s="41">
        <f t="shared" si="536"/>
        <v>1</v>
      </c>
      <c r="Q391" s="155">
        <f t="shared" si="537"/>
        <v>422518.79307692207</v>
      </c>
      <c r="T391" s="155">
        <f t="shared" si="538"/>
        <v>422518.79307692207</v>
      </c>
      <c r="W391" s="155">
        <f t="shared" si="539"/>
        <v>422518.79307692207</v>
      </c>
      <c r="Z391" s="155">
        <f t="shared" si="540"/>
        <v>422518.79307692207</v>
      </c>
      <c r="AD391" s="155">
        <f t="shared" si="543"/>
        <v>339524.0296153829</v>
      </c>
      <c r="AG391" s="155">
        <f t="shared" si="544"/>
        <v>339524.0296153829</v>
      </c>
      <c r="AJ391" s="155">
        <f t="shared" si="545"/>
        <v>339524.0296153829</v>
      </c>
      <c r="AM391" s="155">
        <f t="shared" si="546"/>
        <v>339524.0296153829</v>
      </c>
      <c r="AN391" s="41">
        <f t="shared" si="547"/>
        <v>1</v>
      </c>
      <c r="AO391" s="155"/>
    </row>
    <row r="392" spans="1:41" x14ac:dyDescent="0.15">
      <c r="A392" s="39" t="s">
        <v>77</v>
      </c>
      <c r="G392" s="41">
        <f t="shared" si="541"/>
        <v>1</v>
      </c>
      <c r="H392" s="155"/>
      <c r="J392" s="155">
        <f t="shared" si="542"/>
        <v>237476.54869863004</v>
      </c>
      <c r="M392" s="155">
        <f t="shared" si="535"/>
        <v>237476.54869863004</v>
      </c>
      <c r="N392" s="41">
        <f t="shared" si="536"/>
        <v>1</v>
      </c>
      <c r="Q392" s="155">
        <f t="shared" si="537"/>
        <v>236902.27999999889</v>
      </c>
      <c r="T392" s="155">
        <f t="shared" si="538"/>
        <v>236902.27999999889</v>
      </c>
      <c r="W392" s="155">
        <f t="shared" si="539"/>
        <v>236902.27999999889</v>
      </c>
      <c r="Z392" s="155">
        <f t="shared" si="540"/>
        <v>236902.27999999889</v>
      </c>
      <c r="AD392" s="155">
        <f t="shared" si="543"/>
        <v>237285.12246575201</v>
      </c>
      <c r="AG392" s="155">
        <f t="shared" si="544"/>
        <v>237285.12246575201</v>
      </c>
      <c r="AJ392" s="155">
        <f t="shared" si="545"/>
        <v>237285.12246575201</v>
      </c>
      <c r="AM392" s="155">
        <f t="shared" si="546"/>
        <v>237285.12246575201</v>
      </c>
      <c r="AN392" s="41">
        <f t="shared" si="547"/>
        <v>1</v>
      </c>
      <c r="AO392" s="155"/>
    </row>
    <row r="393" spans="1:41" x14ac:dyDescent="0.15">
      <c r="A393" s="39" t="s">
        <v>294</v>
      </c>
      <c r="G393" s="41">
        <f t="shared" si="541"/>
        <v>0.8216</v>
      </c>
      <c r="H393" s="155"/>
      <c r="J393" s="155">
        <f t="shared" si="542"/>
        <v>491200.93823303364</v>
      </c>
      <c r="M393" s="155">
        <f t="shared" si="535"/>
        <v>491200.93823303364</v>
      </c>
      <c r="N393" s="41">
        <f t="shared" si="536"/>
        <v>0.8216</v>
      </c>
      <c r="Q393" s="155">
        <f t="shared" si="537"/>
        <v>491200.94711161335</v>
      </c>
      <c r="T393" s="155">
        <f t="shared" si="538"/>
        <v>491200.94711161335</v>
      </c>
      <c r="W393" s="155">
        <f t="shared" si="539"/>
        <v>491200.94711161335</v>
      </c>
      <c r="Z393" s="155">
        <f t="shared" si="540"/>
        <v>491200.94711161335</v>
      </c>
      <c r="AD393" s="155">
        <f t="shared" si="543"/>
        <v>492546.70313109749</v>
      </c>
      <c r="AG393" s="155">
        <f t="shared" si="544"/>
        <v>492546.70313109749</v>
      </c>
      <c r="AJ393" s="155">
        <f t="shared" si="545"/>
        <v>492546.70313109749</v>
      </c>
      <c r="AM393" s="155">
        <f t="shared" si="546"/>
        <v>492546.70313109749</v>
      </c>
      <c r="AN393" s="41">
        <f t="shared" si="547"/>
        <v>0.8216</v>
      </c>
      <c r="AO393" s="155"/>
    </row>
    <row r="394" spans="1:41" x14ac:dyDescent="0.15">
      <c r="A394" s="39" t="s">
        <v>295</v>
      </c>
      <c r="G394" s="41">
        <f t="shared" si="541"/>
        <v>0.8216</v>
      </c>
      <c r="H394" s="155"/>
      <c r="J394" s="155">
        <f t="shared" si="542"/>
        <v>-294448.77166457614</v>
      </c>
      <c r="M394" s="155">
        <f t="shared" si="535"/>
        <v>-294448.77166457614</v>
      </c>
      <c r="N394" s="41">
        <f t="shared" si="536"/>
        <v>0.8216</v>
      </c>
      <c r="Q394" s="155">
        <f t="shared" si="537"/>
        <v>-294415.31520733645</v>
      </c>
      <c r="T394" s="155">
        <f t="shared" si="538"/>
        <v>-294415.31520733645</v>
      </c>
      <c r="W394" s="155">
        <f t="shared" si="539"/>
        <v>-294415.31520733645</v>
      </c>
      <c r="Z394" s="155">
        <f t="shared" si="540"/>
        <v>-294415.31520733645</v>
      </c>
      <c r="AD394" s="155">
        <f t="shared" si="543"/>
        <v>-295221.93250927032</v>
      </c>
      <c r="AG394" s="155">
        <f t="shared" si="544"/>
        <v>-295221.93250927032</v>
      </c>
      <c r="AJ394" s="155">
        <f t="shared" si="545"/>
        <v>-295221.93250927032</v>
      </c>
      <c r="AM394" s="155">
        <f t="shared" si="546"/>
        <v>-295221.93250927032</v>
      </c>
      <c r="AN394" s="41">
        <f t="shared" si="547"/>
        <v>0.8216</v>
      </c>
      <c r="AO394" s="155"/>
    </row>
    <row r="395" spans="1:41" x14ac:dyDescent="0.15">
      <c r="A395" s="39" t="s">
        <v>49</v>
      </c>
      <c r="G395" s="41">
        <f t="shared" si="541"/>
        <v>1</v>
      </c>
      <c r="H395" s="155"/>
      <c r="J395" s="155">
        <f t="shared" si="542"/>
        <v>0</v>
      </c>
      <c r="M395" s="155">
        <f t="shared" si="535"/>
        <v>0</v>
      </c>
      <c r="N395" s="41">
        <f t="shared" si="536"/>
        <v>1</v>
      </c>
      <c r="Q395" s="155">
        <f t="shared" si="537"/>
        <v>24389.999999999985</v>
      </c>
      <c r="T395" s="155">
        <f t="shared" si="538"/>
        <v>24389.999999999985</v>
      </c>
      <c r="W395" s="155">
        <f t="shared" si="539"/>
        <v>24389.999999999985</v>
      </c>
      <c r="Z395" s="155">
        <f t="shared" si="540"/>
        <v>24389.999999999985</v>
      </c>
      <c r="AD395" s="155">
        <f t="shared" si="543"/>
        <v>14227.500000000002</v>
      </c>
      <c r="AG395" s="155">
        <f t="shared" si="544"/>
        <v>14227.500000000002</v>
      </c>
      <c r="AJ395" s="155">
        <f t="shared" si="545"/>
        <v>14227.500000000002</v>
      </c>
      <c r="AM395" s="155">
        <f t="shared" si="546"/>
        <v>14227.500000000002</v>
      </c>
      <c r="AN395" s="41">
        <f t="shared" si="547"/>
        <v>1</v>
      </c>
      <c r="AO395" s="155"/>
    </row>
    <row r="396" spans="1:41" x14ac:dyDescent="0.15">
      <c r="A396" s="39" t="s">
        <v>297</v>
      </c>
      <c r="G396" s="41">
        <f t="shared" si="541"/>
        <v>1</v>
      </c>
      <c r="H396" s="155"/>
      <c r="J396" s="155">
        <f t="shared" si="542"/>
        <v>0</v>
      </c>
      <c r="M396" s="155">
        <f t="shared" si="535"/>
        <v>0</v>
      </c>
      <c r="N396" s="41">
        <f t="shared" si="536"/>
        <v>1</v>
      </c>
      <c r="Q396" s="155">
        <f t="shared" si="537"/>
        <v>0</v>
      </c>
      <c r="T396" s="155">
        <f t="shared" si="538"/>
        <v>0</v>
      </c>
      <c r="W396" s="155">
        <f t="shared" si="539"/>
        <v>0</v>
      </c>
      <c r="Z396" s="155">
        <f t="shared" si="540"/>
        <v>0</v>
      </c>
      <c r="AD396" s="155">
        <f t="shared" si="543"/>
        <v>0</v>
      </c>
      <c r="AG396" s="155">
        <f t="shared" si="544"/>
        <v>0</v>
      </c>
      <c r="AJ396" s="155">
        <f t="shared" si="545"/>
        <v>0</v>
      </c>
      <c r="AM396" s="155">
        <f t="shared" si="546"/>
        <v>0</v>
      </c>
      <c r="AN396" s="41">
        <f t="shared" si="547"/>
        <v>1</v>
      </c>
      <c r="AO396" s="155"/>
    </row>
    <row r="397" spans="1:41" x14ac:dyDescent="0.15">
      <c r="A397" s="39" t="s">
        <v>299</v>
      </c>
      <c r="G397" s="41">
        <f t="shared" si="541"/>
        <v>1</v>
      </c>
      <c r="H397" s="155"/>
      <c r="J397" s="155">
        <f t="shared" si="542"/>
        <v>46152.404999999984</v>
      </c>
      <c r="M397" s="155">
        <f t="shared" si="535"/>
        <v>46152.404999999984</v>
      </c>
      <c r="N397" s="41">
        <f t="shared" si="536"/>
        <v>1</v>
      </c>
      <c r="Q397" s="155">
        <f t="shared" si="537"/>
        <v>46184.039999999979</v>
      </c>
      <c r="T397" s="155">
        <f t="shared" si="538"/>
        <v>46184.039999999979</v>
      </c>
      <c r="W397" s="155">
        <f t="shared" si="539"/>
        <v>46184.039999999979</v>
      </c>
      <c r="Z397" s="155">
        <f t="shared" si="540"/>
        <v>46184.039999999979</v>
      </c>
      <c r="AD397" s="155">
        <f t="shared" si="543"/>
        <v>46184.039999999979</v>
      </c>
      <c r="AG397" s="155">
        <f t="shared" si="544"/>
        <v>46184.039999999979</v>
      </c>
      <c r="AJ397" s="155">
        <f t="shared" si="545"/>
        <v>46184.039999999979</v>
      </c>
      <c r="AM397" s="155">
        <f t="shared" si="546"/>
        <v>46184.039999999979</v>
      </c>
      <c r="AN397" s="41">
        <f t="shared" si="547"/>
        <v>1</v>
      </c>
      <c r="AO397" s="155"/>
    </row>
    <row r="398" spans="1:41" x14ac:dyDescent="0.15">
      <c r="A398" s="39" t="s">
        <v>300</v>
      </c>
      <c r="G398" s="41">
        <f t="shared" si="541"/>
        <v>1</v>
      </c>
      <c r="H398" s="155"/>
      <c r="J398" s="155">
        <f t="shared" si="542"/>
        <v>2744.754873528464</v>
      </c>
      <c r="M398" s="155">
        <f t="shared" si="535"/>
        <v>2744.754873528464</v>
      </c>
      <c r="N398" s="41">
        <f t="shared" si="536"/>
        <v>1</v>
      </c>
      <c r="Q398" s="155">
        <f t="shared" si="537"/>
        <v>-50541.631405219778</v>
      </c>
      <c r="T398" s="155">
        <f t="shared" si="538"/>
        <v>-50541.631405219778</v>
      </c>
      <c r="W398" s="155">
        <f t="shared" si="539"/>
        <v>-50541.631405219778</v>
      </c>
      <c r="Z398" s="155">
        <f t="shared" si="540"/>
        <v>-50541.631405219778</v>
      </c>
      <c r="AD398" s="155">
        <f t="shared" si="543"/>
        <v>18837.381348034454</v>
      </c>
      <c r="AG398" s="155">
        <f t="shared" si="544"/>
        <v>18837.381348034454</v>
      </c>
      <c r="AJ398" s="155">
        <f t="shared" si="545"/>
        <v>18837.381348034454</v>
      </c>
      <c r="AM398" s="155">
        <f t="shared" si="546"/>
        <v>18837.381348034454</v>
      </c>
      <c r="AN398" s="41">
        <f t="shared" si="547"/>
        <v>1</v>
      </c>
      <c r="AO398" s="155"/>
    </row>
    <row r="399" spans="1:41" x14ac:dyDescent="0.15">
      <c r="A399" s="39" t="s">
        <v>302</v>
      </c>
      <c r="G399" s="41">
        <f t="shared" si="541"/>
        <v>1</v>
      </c>
      <c r="H399" s="155"/>
      <c r="J399" s="155">
        <f t="shared" si="542"/>
        <v>45972.917499999967</v>
      </c>
      <c r="M399" s="155">
        <f t="shared" si="535"/>
        <v>45972.917499999967</v>
      </c>
      <c r="N399" s="41">
        <f t="shared" si="536"/>
        <v>1</v>
      </c>
      <c r="Q399" s="155">
        <f t="shared" si="537"/>
        <v>-43464.582500000091</v>
      </c>
      <c r="T399" s="155">
        <f t="shared" si="538"/>
        <v>-43464.582500000091</v>
      </c>
      <c r="W399" s="155">
        <f t="shared" si="539"/>
        <v>-43464.582500000091</v>
      </c>
      <c r="Z399" s="155">
        <f t="shared" si="540"/>
        <v>-43464.582500000091</v>
      </c>
      <c r="AD399" s="155">
        <f t="shared" si="543"/>
        <v>-21732.300000000039</v>
      </c>
      <c r="AG399" s="155">
        <f t="shared" si="544"/>
        <v>-21732.300000000039</v>
      </c>
      <c r="AJ399" s="155">
        <f t="shared" si="545"/>
        <v>-21732.300000000039</v>
      </c>
      <c r="AM399" s="155">
        <f t="shared" si="546"/>
        <v>-21732.300000000039</v>
      </c>
      <c r="AN399" s="41">
        <f t="shared" si="547"/>
        <v>1</v>
      </c>
      <c r="AO399" s="155"/>
    </row>
    <row r="400" spans="1:41" x14ac:dyDescent="0.15">
      <c r="A400" s="39" t="s">
        <v>59</v>
      </c>
      <c r="G400" s="41">
        <f t="shared" si="541"/>
        <v>1</v>
      </c>
      <c r="H400" s="155"/>
      <c r="J400" s="155">
        <f t="shared" si="542"/>
        <v>568562.15724549175</v>
      </c>
      <c r="M400" s="155">
        <f t="shared" si="535"/>
        <v>568562.15724549175</v>
      </c>
      <c r="N400" s="41">
        <f t="shared" si="536"/>
        <v>1</v>
      </c>
      <c r="Q400" s="155">
        <f t="shared" si="537"/>
        <v>-466675.26190138143</v>
      </c>
      <c r="T400" s="155">
        <f t="shared" si="538"/>
        <v>-466675.26190138143</v>
      </c>
      <c r="W400" s="155">
        <f t="shared" si="539"/>
        <v>-466675.26190138143</v>
      </c>
      <c r="Z400" s="155">
        <f t="shared" si="540"/>
        <v>-466675.26190138143</v>
      </c>
      <c r="AD400" s="155">
        <f t="shared" si="543"/>
        <v>45530.108666744578</v>
      </c>
      <c r="AG400" s="155">
        <f t="shared" si="544"/>
        <v>45530.108666744578</v>
      </c>
      <c r="AJ400" s="155">
        <f t="shared" si="545"/>
        <v>45530.108666744578</v>
      </c>
      <c r="AM400" s="155">
        <f t="shared" si="546"/>
        <v>45530.108666744578</v>
      </c>
      <c r="AN400" s="41">
        <f t="shared" si="547"/>
        <v>1</v>
      </c>
      <c r="AO400" s="155"/>
    </row>
    <row r="401" spans="1:41" x14ac:dyDescent="0.15">
      <c r="A401" s="39" t="s">
        <v>53</v>
      </c>
      <c r="G401" s="41">
        <f t="shared" si="541"/>
        <v>0.11</v>
      </c>
      <c r="H401" s="155"/>
      <c r="J401" s="155">
        <f t="shared" si="542"/>
        <v>9698.2264500000001</v>
      </c>
      <c r="M401" s="155">
        <f t="shared" si="535"/>
        <v>9698.2264500000001</v>
      </c>
      <c r="N401" s="41">
        <f t="shared" si="536"/>
        <v>0.11</v>
      </c>
      <c r="Q401" s="155">
        <f t="shared" si="537"/>
        <v>-12621.133799999998</v>
      </c>
      <c r="T401" s="155">
        <f t="shared" si="538"/>
        <v>-12621.133799999998</v>
      </c>
      <c r="W401" s="155">
        <f t="shared" si="539"/>
        <v>-12621.133799999998</v>
      </c>
      <c r="Z401" s="155">
        <f t="shared" si="540"/>
        <v>-12621.133799999998</v>
      </c>
      <c r="AD401" s="155">
        <f t="shared" si="543"/>
        <v>0</v>
      </c>
      <c r="AG401" s="155">
        <f t="shared" si="544"/>
        <v>0</v>
      </c>
      <c r="AJ401" s="155">
        <f t="shared" si="545"/>
        <v>0</v>
      </c>
      <c r="AM401" s="155">
        <f t="shared" si="546"/>
        <v>0</v>
      </c>
      <c r="AN401" s="41">
        <f t="shared" si="547"/>
        <v>0.11</v>
      </c>
      <c r="AO401" s="155"/>
    </row>
    <row r="402" spans="1:41" x14ac:dyDescent="0.15">
      <c r="A402" s="39" t="s">
        <v>303</v>
      </c>
      <c r="G402" s="41">
        <f t="shared" si="541"/>
        <v>0.8216</v>
      </c>
      <c r="H402" s="155"/>
      <c r="J402" s="155">
        <f t="shared" si="542"/>
        <v>677931.12140000053</v>
      </c>
      <c r="M402" s="155">
        <f t="shared" si="535"/>
        <v>677931.12140000053</v>
      </c>
      <c r="N402" s="41">
        <f t="shared" si="536"/>
        <v>0.8216</v>
      </c>
      <c r="Q402" s="155">
        <f t="shared" si="537"/>
        <v>620492.44920000096</v>
      </c>
      <c r="T402" s="155">
        <f t="shared" si="538"/>
        <v>620492.44920000096</v>
      </c>
      <c r="W402" s="155">
        <f t="shared" si="539"/>
        <v>620492.44920000096</v>
      </c>
      <c r="Z402" s="155">
        <f t="shared" si="540"/>
        <v>620492.44920000096</v>
      </c>
      <c r="AD402" s="155">
        <f t="shared" si="543"/>
        <v>613122.08099999989</v>
      </c>
      <c r="AG402" s="155">
        <f t="shared" si="544"/>
        <v>613122.08099999989</v>
      </c>
      <c r="AJ402" s="155">
        <f t="shared" si="545"/>
        <v>613122.08099999989</v>
      </c>
      <c r="AM402" s="155">
        <f t="shared" si="546"/>
        <v>613122.08099999989</v>
      </c>
      <c r="AN402" s="41">
        <f t="shared" si="547"/>
        <v>0.8216</v>
      </c>
      <c r="AO402" s="155"/>
    </row>
    <row r="403" spans="1:41" x14ac:dyDescent="0.15">
      <c r="A403" s="39" t="s">
        <v>304</v>
      </c>
      <c r="G403" s="41">
        <f t="shared" si="541"/>
        <v>0.8216</v>
      </c>
      <c r="H403" s="155"/>
      <c r="J403" s="155">
        <f t="shared" si="542"/>
        <v>-1302964.5538000001</v>
      </c>
      <c r="M403" s="155">
        <f t="shared" si="535"/>
        <v>-1302964.5538000001</v>
      </c>
      <c r="N403" s="41">
        <f t="shared" si="536"/>
        <v>0.8216</v>
      </c>
      <c r="Q403" s="155">
        <f t="shared" si="537"/>
        <v>-1339411.7568000001</v>
      </c>
      <c r="T403" s="155">
        <f t="shared" si="538"/>
        <v>-1339411.7568000001</v>
      </c>
      <c r="W403" s="155">
        <f t="shared" si="539"/>
        <v>-1339411.7568000001</v>
      </c>
      <c r="Z403" s="155">
        <f t="shared" si="540"/>
        <v>-1339411.7568000001</v>
      </c>
      <c r="AD403" s="155">
        <f t="shared" si="543"/>
        <v>-1357027.6824</v>
      </c>
      <c r="AG403" s="155">
        <f t="shared" si="544"/>
        <v>-1357027.6824</v>
      </c>
      <c r="AJ403" s="155">
        <f t="shared" si="545"/>
        <v>-1357027.6824</v>
      </c>
      <c r="AM403" s="155">
        <f t="shared" si="546"/>
        <v>-1357027.6824</v>
      </c>
      <c r="AN403" s="41">
        <f t="shared" si="547"/>
        <v>0.8216</v>
      </c>
      <c r="AO403" s="155"/>
    </row>
    <row r="404" spans="1:41" x14ac:dyDescent="0.15">
      <c r="A404" s="39" t="s">
        <v>41</v>
      </c>
      <c r="G404" s="41">
        <f t="shared" si="541"/>
        <v>0.8216</v>
      </c>
      <c r="H404" s="155"/>
      <c r="J404" s="155">
        <f t="shared" si="542"/>
        <v>209297.17538600066</v>
      </c>
      <c r="M404" s="155">
        <f t="shared" si="535"/>
        <v>209297.17538600066</v>
      </c>
      <c r="N404" s="41">
        <f t="shared" si="536"/>
        <v>0.8216</v>
      </c>
      <c r="Q404" s="155">
        <f t="shared" si="537"/>
        <v>210637.20293200022</v>
      </c>
      <c r="T404" s="155">
        <f t="shared" si="538"/>
        <v>210637.20293200022</v>
      </c>
      <c r="W404" s="155">
        <f t="shared" si="539"/>
        <v>210637.20293200022</v>
      </c>
      <c r="Z404" s="155">
        <f t="shared" si="540"/>
        <v>210637.20293200022</v>
      </c>
      <c r="AD404" s="155">
        <f t="shared" si="543"/>
        <v>159691.46466647962</v>
      </c>
      <c r="AG404" s="155">
        <f t="shared" si="544"/>
        <v>159691.46466647962</v>
      </c>
      <c r="AJ404" s="155">
        <f t="shared" si="545"/>
        <v>159691.46466647962</v>
      </c>
      <c r="AM404" s="155">
        <f t="shared" si="546"/>
        <v>159691.46466647962</v>
      </c>
      <c r="AN404" s="41">
        <f t="shared" si="547"/>
        <v>0.8216</v>
      </c>
      <c r="AO404" s="155"/>
    </row>
    <row r="405" spans="1:41" x14ac:dyDescent="0.15">
      <c r="A405" s="39" t="s">
        <v>70</v>
      </c>
      <c r="G405" s="41">
        <f t="shared" si="541"/>
        <v>1</v>
      </c>
      <c r="H405" s="155"/>
      <c r="J405" s="155">
        <f t="shared" si="542"/>
        <v>0</v>
      </c>
      <c r="M405" s="155">
        <f t="shared" si="535"/>
        <v>0</v>
      </c>
      <c r="N405" s="41">
        <f t="shared" si="536"/>
        <v>1</v>
      </c>
      <c r="Q405" s="155">
        <f t="shared" si="537"/>
        <v>0</v>
      </c>
      <c r="T405" s="155">
        <f t="shared" si="538"/>
        <v>0</v>
      </c>
      <c r="W405" s="155">
        <f t="shared" si="539"/>
        <v>0</v>
      </c>
      <c r="Z405" s="155">
        <f t="shared" si="540"/>
        <v>0</v>
      </c>
      <c r="AD405" s="155">
        <f t="shared" si="543"/>
        <v>0</v>
      </c>
      <c r="AG405" s="155">
        <f t="shared" si="544"/>
        <v>0</v>
      </c>
      <c r="AJ405" s="155">
        <f t="shared" si="545"/>
        <v>0</v>
      </c>
      <c r="AM405" s="155">
        <f t="shared" si="546"/>
        <v>0</v>
      </c>
      <c r="AN405" s="41">
        <f t="shared" si="547"/>
        <v>1</v>
      </c>
      <c r="AO405" s="155"/>
    </row>
    <row r="406" spans="1:41" x14ac:dyDescent="0.15">
      <c r="A406" s="39" t="s">
        <v>305</v>
      </c>
      <c r="G406" s="41">
        <f t="shared" si="541"/>
        <v>0.8216</v>
      </c>
      <c r="H406" s="155"/>
      <c r="J406" s="155">
        <f t="shared" si="542"/>
        <v>374726.52295281593</v>
      </c>
      <c r="M406" s="155">
        <f t="shared" si="535"/>
        <v>374726.52295281593</v>
      </c>
      <c r="N406" s="41">
        <f t="shared" si="536"/>
        <v>0.8216</v>
      </c>
      <c r="Q406" s="155">
        <f t="shared" si="537"/>
        <v>-158671.33079650145</v>
      </c>
      <c r="T406" s="155">
        <f t="shared" si="538"/>
        <v>-158671.33079650145</v>
      </c>
      <c r="W406" s="155">
        <f t="shared" si="539"/>
        <v>-158671.33079650145</v>
      </c>
      <c r="Z406" s="155">
        <f t="shared" si="540"/>
        <v>-158671.33079650145</v>
      </c>
      <c r="AD406" s="155">
        <f t="shared" si="543"/>
        <v>-398413.88012281439</v>
      </c>
      <c r="AG406" s="155">
        <f t="shared" si="544"/>
        <v>-398413.88012281439</v>
      </c>
      <c r="AJ406" s="155">
        <f t="shared" si="545"/>
        <v>-398413.88012281439</v>
      </c>
      <c r="AM406" s="155">
        <f t="shared" si="546"/>
        <v>-398413.88012281439</v>
      </c>
      <c r="AN406" s="41">
        <f t="shared" si="547"/>
        <v>0.8216</v>
      </c>
      <c r="AO406" s="155"/>
    </row>
    <row r="407" spans="1:41" x14ac:dyDescent="0.15">
      <c r="A407" s="39" t="s">
        <v>306</v>
      </c>
      <c r="G407" s="41">
        <f t="shared" si="541"/>
        <v>0.8216</v>
      </c>
      <c r="H407" s="155"/>
      <c r="J407" s="155">
        <f t="shared" si="542"/>
        <v>-133584.56020000001</v>
      </c>
      <c r="M407" s="155">
        <f t="shared" si="535"/>
        <v>-133584.56020000001</v>
      </c>
      <c r="N407" s="41">
        <f t="shared" si="536"/>
        <v>0.8216</v>
      </c>
      <c r="Q407" s="155">
        <f t="shared" si="537"/>
        <v>0</v>
      </c>
      <c r="T407" s="155">
        <f t="shared" si="538"/>
        <v>0</v>
      </c>
      <c r="W407" s="155">
        <f t="shared" si="539"/>
        <v>0</v>
      </c>
      <c r="Z407" s="155">
        <f t="shared" si="540"/>
        <v>0</v>
      </c>
      <c r="AD407" s="155">
        <f t="shared" si="543"/>
        <v>0</v>
      </c>
      <c r="AG407" s="155">
        <f t="shared" si="544"/>
        <v>0</v>
      </c>
      <c r="AJ407" s="155">
        <f t="shared" si="545"/>
        <v>0</v>
      </c>
      <c r="AM407" s="155">
        <f t="shared" si="546"/>
        <v>0</v>
      </c>
      <c r="AN407" s="41">
        <f t="shared" si="547"/>
        <v>0.8216</v>
      </c>
      <c r="AO407" s="155"/>
    </row>
    <row r="408" spans="1:41" x14ac:dyDescent="0.15">
      <c r="A408" s="39" t="s">
        <v>75</v>
      </c>
      <c r="G408" s="41">
        <f t="shared" si="541"/>
        <v>0.8216</v>
      </c>
      <c r="H408" s="155"/>
      <c r="J408" s="155">
        <f t="shared" si="542"/>
        <v>-163721.36314288893</v>
      </c>
      <c r="M408" s="155">
        <f t="shared" si="535"/>
        <v>-163721.36314288893</v>
      </c>
      <c r="N408" s="41">
        <f t="shared" si="536"/>
        <v>0.8216</v>
      </c>
      <c r="Q408" s="155">
        <f t="shared" si="537"/>
        <v>98150.394748384264</v>
      </c>
      <c r="T408" s="155">
        <f t="shared" si="538"/>
        <v>98150.394748384264</v>
      </c>
      <c r="W408" s="155">
        <f t="shared" si="539"/>
        <v>98150.394748384264</v>
      </c>
      <c r="Z408" s="155">
        <f t="shared" si="540"/>
        <v>98150.394748384264</v>
      </c>
      <c r="AD408" s="155">
        <f t="shared" si="543"/>
        <v>213553.46954164395</v>
      </c>
      <c r="AG408" s="155">
        <f t="shared" si="544"/>
        <v>213553.46954164395</v>
      </c>
      <c r="AJ408" s="155">
        <f t="shared" si="545"/>
        <v>213553.46954164395</v>
      </c>
      <c r="AM408" s="155">
        <f t="shared" si="546"/>
        <v>213553.46954164395</v>
      </c>
      <c r="AN408" s="41">
        <f t="shared" si="547"/>
        <v>0.8216</v>
      </c>
      <c r="AO408" s="155"/>
    </row>
    <row r="409" spans="1:41" x14ac:dyDescent="0.15">
      <c r="A409" s="39" t="s">
        <v>38</v>
      </c>
      <c r="G409" s="41">
        <f t="shared" si="541"/>
        <v>0.99525675162766813</v>
      </c>
      <c r="H409" s="155"/>
      <c r="J409" s="155">
        <f t="shared" si="542"/>
        <v>1090761.3486574604</v>
      </c>
      <c r="M409" s="155">
        <f t="shared" si="535"/>
        <v>1090761.3486574604</v>
      </c>
      <c r="N409" s="41">
        <f t="shared" si="536"/>
        <v>0.99525675162766813</v>
      </c>
      <c r="Q409" s="155">
        <f t="shared" si="537"/>
        <v>783110.76251031901</v>
      </c>
      <c r="T409" s="155">
        <f t="shared" si="538"/>
        <v>783110.76251031901</v>
      </c>
      <c r="W409" s="155">
        <f t="shared" si="539"/>
        <v>783110.76251031901</v>
      </c>
      <c r="Z409" s="155">
        <f t="shared" si="540"/>
        <v>783110.76251031901</v>
      </c>
      <c r="AD409" s="155">
        <f t="shared" si="543"/>
        <v>629285.47043413739</v>
      </c>
      <c r="AG409" s="155">
        <f t="shared" si="544"/>
        <v>629285.47043413739</v>
      </c>
      <c r="AJ409" s="155">
        <f t="shared" si="545"/>
        <v>629285.47043413739</v>
      </c>
      <c r="AM409" s="155">
        <f t="shared" si="546"/>
        <v>629285.47043413739</v>
      </c>
      <c r="AN409" s="41">
        <f t="shared" si="547"/>
        <v>0.99525675162766813</v>
      </c>
    </row>
    <row r="410" spans="1:41" x14ac:dyDescent="0.15">
      <c r="A410" s="39" t="s">
        <v>80</v>
      </c>
      <c r="G410" s="41">
        <f t="shared" si="541"/>
        <v>0.80991373405420919</v>
      </c>
      <c r="H410" s="155"/>
      <c r="J410" s="155">
        <f t="shared" si="542"/>
        <v>-6074353.0054065688</v>
      </c>
      <c r="M410" s="155">
        <f t="shared" si="535"/>
        <v>-6074353.0054065688</v>
      </c>
      <c r="N410" s="41">
        <f t="shared" si="536"/>
        <v>0.80991373405420919</v>
      </c>
      <c r="Q410" s="155">
        <f t="shared" si="537"/>
        <v>-6286752.3937095338</v>
      </c>
      <c r="T410" s="155">
        <f t="shared" si="538"/>
        <v>-6286752.3937095338</v>
      </c>
      <c r="W410" s="155">
        <f t="shared" si="539"/>
        <v>-6286752.3937095338</v>
      </c>
      <c r="Z410" s="155">
        <f t="shared" si="540"/>
        <v>-6286752.3937095338</v>
      </c>
      <c r="AD410" s="155">
        <f t="shared" si="543"/>
        <v>-6319452.9838015623</v>
      </c>
      <c r="AG410" s="155">
        <f t="shared" si="544"/>
        <v>-6319452.9838015623</v>
      </c>
      <c r="AJ410" s="155">
        <f t="shared" si="545"/>
        <v>-6319452.9838015623</v>
      </c>
      <c r="AM410" s="155">
        <f t="shared" si="546"/>
        <v>-6319452.9838015623</v>
      </c>
      <c r="AN410" s="41">
        <f t="shared" si="547"/>
        <v>0.84259373117354164</v>
      </c>
    </row>
    <row r="411" spans="1:41" x14ac:dyDescent="0.15">
      <c r="A411" s="39" t="s">
        <v>627</v>
      </c>
      <c r="G411" s="41">
        <f t="shared" si="541"/>
        <v>1</v>
      </c>
      <c r="H411" s="155"/>
      <c r="J411" s="155">
        <f t="shared" si="542"/>
        <v>408872.44691348413</v>
      </c>
      <c r="M411" s="155">
        <f t="shared" si="535"/>
        <v>408872.44691348413</v>
      </c>
      <c r="N411" s="41">
        <f t="shared" si="536"/>
        <v>1</v>
      </c>
      <c r="Q411" s="155">
        <f t="shared" si="537"/>
        <v>-938876.31792078307</v>
      </c>
      <c r="T411" s="155">
        <f t="shared" si="538"/>
        <v>-938876.31792078307</v>
      </c>
      <c r="W411" s="155">
        <f t="shared" si="539"/>
        <v>-938876.31792078307</v>
      </c>
      <c r="Z411" s="155">
        <f t="shared" si="540"/>
        <v>-938876.31792078307</v>
      </c>
      <c r="AD411" s="155">
        <f t="shared" si="543"/>
        <v>0</v>
      </c>
      <c r="AG411" s="155">
        <f t="shared" si="544"/>
        <v>0</v>
      </c>
      <c r="AJ411" s="155">
        <f t="shared" si="545"/>
        <v>0</v>
      </c>
      <c r="AM411" s="155">
        <f t="shared" si="546"/>
        <v>0</v>
      </c>
      <c r="AN411" s="41">
        <f t="shared" si="547"/>
        <v>1</v>
      </c>
    </row>
    <row r="412" spans="1:41" x14ac:dyDescent="0.15">
      <c r="A412" s="39" t="s">
        <v>638</v>
      </c>
      <c r="G412" s="41">
        <f t="shared" si="541"/>
        <v>0</v>
      </c>
      <c r="H412" s="155"/>
      <c r="J412" s="155">
        <f t="shared" si="542"/>
        <v>0</v>
      </c>
      <c r="M412" s="155">
        <f t="shared" si="535"/>
        <v>0</v>
      </c>
      <c r="N412" s="41">
        <v>0</v>
      </c>
      <c r="Q412" s="155">
        <f t="shared" si="537"/>
        <v>0</v>
      </c>
      <c r="T412" s="155">
        <f t="shared" si="538"/>
        <v>0</v>
      </c>
      <c r="W412" s="155">
        <f t="shared" si="539"/>
        <v>0</v>
      </c>
      <c r="Z412" s="155">
        <f t="shared" si="540"/>
        <v>0</v>
      </c>
      <c r="AD412" s="155">
        <f t="shared" si="543"/>
        <v>0</v>
      </c>
      <c r="AG412" s="155">
        <f t="shared" si="544"/>
        <v>0</v>
      </c>
      <c r="AJ412" s="155">
        <f t="shared" si="545"/>
        <v>0</v>
      </c>
      <c r="AM412" s="155">
        <f t="shared" si="546"/>
        <v>0</v>
      </c>
      <c r="AN412" s="41">
        <v>0</v>
      </c>
    </row>
    <row r="413" spans="1:41" x14ac:dyDescent="0.15">
      <c r="A413" s="39" t="s">
        <v>1036</v>
      </c>
      <c r="G413" s="41">
        <f t="shared" si="541"/>
        <v>1</v>
      </c>
      <c r="H413" s="155"/>
      <c r="J413" s="155">
        <f t="shared" si="542"/>
        <v>-827342.03662046883</v>
      </c>
      <c r="M413" s="155">
        <f t="shared" si="535"/>
        <v>-827342.03662046883</v>
      </c>
      <c r="N413" s="41">
        <f t="shared" ref="N413:N425" si="548">VLOOKUP(A413,$A$282:$N$320,14,FALSE)</f>
        <v>1</v>
      </c>
      <c r="Q413" s="155">
        <f t="shared" si="537"/>
        <v>-1826803.9097596072</v>
      </c>
      <c r="T413" s="155">
        <f t="shared" si="538"/>
        <v>-1826803.9097596072</v>
      </c>
      <c r="W413" s="155">
        <f t="shared" si="539"/>
        <v>-1826803.9097596072</v>
      </c>
      <c r="Z413" s="155">
        <f t="shared" si="540"/>
        <v>-1826803.9097596072</v>
      </c>
      <c r="AD413" s="155">
        <f t="shared" si="543"/>
        <v>763155.35619074083</v>
      </c>
      <c r="AG413" s="155">
        <f t="shared" si="544"/>
        <v>763155.35619074083</v>
      </c>
      <c r="AJ413" s="155">
        <f t="shared" si="545"/>
        <v>763155.35619074083</v>
      </c>
      <c r="AM413" s="155">
        <f t="shared" si="546"/>
        <v>763155.35619074083</v>
      </c>
      <c r="AN413" s="41">
        <f t="shared" si="547"/>
        <v>1</v>
      </c>
    </row>
    <row r="414" spans="1:41" x14ac:dyDescent="0.15">
      <c r="A414" s="39" t="s">
        <v>622</v>
      </c>
      <c r="G414" s="41">
        <f t="shared" si="541"/>
        <v>1</v>
      </c>
      <c r="H414" s="155"/>
      <c r="J414" s="155">
        <f t="shared" si="542"/>
        <v>0</v>
      </c>
      <c r="M414" s="155">
        <f t="shared" si="535"/>
        <v>0</v>
      </c>
      <c r="N414" s="41">
        <f t="shared" si="548"/>
        <v>1</v>
      </c>
      <c r="Q414" s="155">
        <f t="shared" si="537"/>
        <v>0</v>
      </c>
      <c r="T414" s="155">
        <f t="shared" si="538"/>
        <v>0</v>
      </c>
      <c r="W414" s="155">
        <f t="shared" si="539"/>
        <v>0</v>
      </c>
      <c r="Z414" s="155">
        <f t="shared" si="540"/>
        <v>0</v>
      </c>
      <c r="AD414" s="155">
        <f t="shared" si="543"/>
        <v>0</v>
      </c>
      <c r="AG414" s="155">
        <f t="shared" si="544"/>
        <v>0</v>
      </c>
      <c r="AJ414" s="155">
        <f t="shared" si="545"/>
        <v>0</v>
      </c>
      <c r="AM414" s="155">
        <f t="shared" si="546"/>
        <v>0</v>
      </c>
      <c r="AN414" s="41">
        <f t="shared" si="547"/>
        <v>1</v>
      </c>
    </row>
    <row r="415" spans="1:41" x14ac:dyDescent="0.15">
      <c r="A415" s="39" t="s">
        <v>1028</v>
      </c>
      <c r="G415" s="41">
        <f t="shared" si="541"/>
        <v>1</v>
      </c>
      <c r="H415" s="155"/>
      <c r="J415" s="155">
        <f t="shared" si="542"/>
        <v>-597618</v>
      </c>
      <c r="M415" s="155">
        <f t="shared" si="535"/>
        <v>-597618</v>
      </c>
      <c r="N415" s="41">
        <f t="shared" si="548"/>
        <v>1</v>
      </c>
      <c r="Q415" s="155">
        <f t="shared" si="537"/>
        <v>79682.399999999689</v>
      </c>
      <c r="T415" s="155">
        <f t="shared" si="538"/>
        <v>79682.399999999689</v>
      </c>
      <c r="W415" s="155">
        <f t="shared" si="539"/>
        <v>79682.399999999689</v>
      </c>
      <c r="Z415" s="155">
        <f t="shared" si="540"/>
        <v>79682.399999999689</v>
      </c>
      <c r="AD415" s="155">
        <f t="shared" si="543"/>
        <v>119523.60000000021</v>
      </c>
      <c r="AG415" s="155">
        <f t="shared" si="544"/>
        <v>119523.60000000021</v>
      </c>
      <c r="AJ415" s="155">
        <f t="shared" si="545"/>
        <v>119523.60000000021</v>
      </c>
      <c r="AM415" s="155">
        <f t="shared" si="546"/>
        <v>119523.60000000021</v>
      </c>
      <c r="AN415" s="41">
        <f t="shared" si="547"/>
        <v>1</v>
      </c>
    </row>
    <row r="416" spans="1:41" x14ac:dyDescent="0.15">
      <c r="A416" s="39" t="s">
        <v>310</v>
      </c>
      <c r="G416" s="41">
        <f t="shared" si="541"/>
        <v>1</v>
      </c>
      <c r="H416" s="155"/>
      <c r="J416" s="155">
        <f t="shared" si="542"/>
        <v>-2447725.8000000003</v>
      </c>
      <c r="M416" s="155">
        <f t="shared" si="535"/>
        <v>-2447725.8000000003</v>
      </c>
      <c r="N416" s="41">
        <f t="shared" si="548"/>
        <v>1</v>
      </c>
      <c r="Q416" s="155">
        <f t="shared" si="537"/>
        <v>-4869895.0700000012</v>
      </c>
      <c r="T416" s="155">
        <f t="shared" si="538"/>
        <v>-4869895.0700000012</v>
      </c>
      <c r="W416" s="155">
        <f t="shared" si="539"/>
        <v>-4869895.0700000012</v>
      </c>
      <c r="Z416" s="155">
        <f t="shared" si="540"/>
        <v>-4869895.0700000012</v>
      </c>
      <c r="AD416" s="155">
        <f t="shared" si="543"/>
        <v>-4636457.6349999998</v>
      </c>
      <c r="AG416" s="155">
        <f t="shared" si="544"/>
        <v>-4636457.6349999998</v>
      </c>
      <c r="AJ416" s="155">
        <f t="shared" si="545"/>
        <v>-4636457.6349999998</v>
      </c>
      <c r="AM416" s="155">
        <f t="shared" si="546"/>
        <v>-4636457.6349999998</v>
      </c>
      <c r="AN416" s="41">
        <f t="shared" si="547"/>
        <v>1</v>
      </c>
    </row>
    <row r="417" spans="1:40" x14ac:dyDescent="0.15">
      <c r="A417" s="39" t="s">
        <v>311</v>
      </c>
      <c r="G417" s="41">
        <f t="shared" si="541"/>
        <v>1</v>
      </c>
      <c r="H417" s="155"/>
      <c r="J417" s="155">
        <f t="shared" si="542"/>
        <v>141123.0399887473</v>
      </c>
      <c r="M417" s="155">
        <f t="shared" si="535"/>
        <v>141123.0399887473</v>
      </c>
      <c r="N417" s="41">
        <f t="shared" si="548"/>
        <v>1</v>
      </c>
      <c r="Q417" s="155">
        <f t="shared" si="537"/>
        <v>314591.37407051562</v>
      </c>
      <c r="T417" s="155">
        <f t="shared" si="538"/>
        <v>314591.37407051562</v>
      </c>
      <c r="W417" s="155">
        <f t="shared" si="539"/>
        <v>314591.37407051562</v>
      </c>
      <c r="Z417" s="155">
        <f t="shared" si="540"/>
        <v>314591.37407051562</v>
      </c>
      <c r="AD417" s="155">
        <f t="shared" si="543"/>
        <v>534513.12708894326</v>
      </c>
      <c r="AG417" s="155">
        <f t="shared" si="544"/>
        <v>534513.12708894326</v>
      </c>
      <c r="AJ417" s="155">
        <f t="shared" si="545"/>
        <v>534513.12708894326</v>
      </c>
      <c r="AM417" s="155">
        <f t="shared" si="546"/>
        <v>534513.12708894326</v>
      </c>
      <c r="AN417" s="41">
        <f t="shared" si="547"/>
        <v>1</v>
      </c>
    </row>
    <row r="418" spans="1:40" x14ac:dyDescent="0.15">
      <c r="A418" s="39" t="s">
        <v>43</v>
      </c>
      <c r="G418" s="41">
        <f t="shared" si="541"/>
        <v>0.89759999999999995</v>
      </c>
      <c r="H418" s="155"/>
      <c r="J418" s="155">
        <f t="shared" si="542"/>
        <v>-72617974.268399999</v>
      </c>
      <c r="M418" s="155">
        <f t="shared" si="535"/>
        <v>-24205991.422799997</v>
      </c>
      <c r="N418" s="41">
        <f t="shared" si="548"/>
        <v>0.89759999999999995</v>
      </c>
      <c r="Q418" s="155">
        <f t="shared" si="537"/>
        <v>-30438446.547108248</v>
      </c>
      <c r="T418" s="155">
        <f t="shared" si="538"/>
        <v>-30438446.547108248</v>
      </c>
      <c r="W418" s="155">
        <f t="shared" si="539"/>
        <v>-30438446.547108248</v>
      </c>
      <c r="Z418" s="155">
        <f t="shared" si="540"/>
        <v>-30438446.547108248</v>
      </c>
      <c r="AD418" s="155">
        <f t="shared" si="543"/>
        <v>0</v>
      </c>
      <c r="AG418" s="155">
        <f t="shared" si="544"/>
        <v>0</v>
      </c>
      <c r="AJ418" s="155">
        <f t="shared" si="545"/>
        <v>0</v>
      </c>
      <c r="AM418" s="155">
        <f t="shared" si="546"/>
        <v>0</v>
      </c>
      <c r="AN418" s="41">
        <f t="shared" si="547"/>
        <v>0.8</v>
      </c>
    </row>
    <row r="419" spans="1:40" x14ac:dyDescent="0.15">
      <c r="A419" s="39" t="s">
        <v>44</v>
      </c>
      <c r="G419" s="41">
        <f t="shared" si="541"/>
        <v>0.80991373405420919</v>
      </c>
      <c r="H419" s="155"/>
      <c r="J419" s="155">
        <f t="shared" si="542"/>
        <v>39934589.757377148</v>
      </c>
      <c r="M419" s="155">
        <f t="shared" si="535"/>
        <v>39934589.757377148</v>
      </c>
      <c r="N419" s="41">
        <f t="shared" si="548"/>
        <v>0.80991373405420919</v>
      </c>
      <c r="Q419" s="155">
        <f t="shared" si="537"/>
        <v>51003762.437869117</v>
      </c>
      <c r="T419" s="155">
        <f t="shared" si="538"/>
        <v>51003762.437869117</v>
      </c>
      <c r="W419" s="155">
        <f t="shared" si="539"/>
        <v>51003762.437869117</v>
      </c>
      <c r="Z419" s="155">
        <f t="shared" si="540"/>
        <v>51003762.437869117</v>
      </c>
      <c r="AD419" s="155">
        <f t="shared" si="543"/>
        <v>56941323.998944499</v>
      </c>
      <c r="AG419" s="155">
        <f t="shared" si="544"/>
        <v>56941323.998944499</v>
      </c>
      <c r="AJ419" s="155">
        <f t="shared" si="545"/>
        <v>56941323.998944499</v>
      </c>
      <c r="AM419" s="155">
        <f t="shared" si="546"/>
        <v>56941323.998944499</v>
      </c>
      <c r="AN419" s="41">
        <f t="shared" si="547"/>
        <v>0.84259373117354164</v>
      </c>
    </row>
    <row r="420" spans="1:40" x14ac:dyDescent="0.15">
      <c r="A420" s="39" t="s">
        <v>625</v>
      </c>
      <c r="G420" s="41">
        <f t="shared" si="541"/>
        <v>1</v>
      </c>
      <c r="H420" s="155"/>
      <c r="J420" s="155">
        <f t="shared" si="542"/>
        <v>520024.53749999998</v>
      </c>
      <c r="M420" s="155">
        <f t="shared" si="535"/>
        <v>520024.53749999998</v>
      </c>
      <c r="N420" s="41">
        <f t="shared" si="548"/>
        <v>1</v>
      </c>
      <c r="Q420" s="155">
        <f t="shared" si="537"/>
        <v>-297232.14750000002</v>
      </c>
      <c r="T420" s="155">
        <f t="shared" si="538"/>
        <v>-297232.14750000002</v>
      </c>
      <c r="W420" s="155">
        <f t="shared" si="539"/>
        <v>-297232.14750000002</v>
      </c>
      <c r="Z420" s="155">
        <f t="shared" si="540"/>
        <v>-297232.14750000002</v>
      </c>
      <c r="AD420" s="155">
        <f t="shared" si="543"/>
        <v>911538.74750000006</v>
      </c>
      <c r="AG420" s="155">
        <f t="shared" si="544"/>
        <v>911538.74750000006</v>
      </c>
      <c r="AJ420" s="155">
        <f t="shared" si="545"/>
        <v>911538.74750000006</v>
      </c>
      <c r="AM420" s="155">
        <f t="shared" si="546"/>
        <v>911538.74750000006</v>
      </c>
      <c r="AN420" s="41">
        <f t="shared" si="547"/>
        <v>1</v>
      </c>
    </row>
    <row r="421" spans="1:40" x14ac:dyDescent="0.15">
      <c r="A421" s="39" t="s">
        <v>47</v>
      </c>
      <c r="G421" s="41">
        <f t="shared" si="541"/>
        <v>0.80991373405420919</v>
      </c>
      <c r="H421" s="155"/>
      <c r="J421" s="155">
        <f t="shared" si="542"/>
        <v>2429741.2021626276</v>
      </c>
      <c r="M421" s="155">
        <f t="shared" si="535"/>
        <v>2429741.2021626276</v>
      </c>
      <c r="N421" s="41">
        <f t="shared" si="548"/>
        <v>0.80991373405420919</v>
      </c>
      <c r="Q421" s="155">
        <f t="shared" si="537"/>
        <v>2514700.9574838132</v>
      </c>
      <c r="T421" s="155">
        <f t="shared" si="538"/>
        <v>2514700.9574838132</v>
      </c>
      <c r="W421" s="155">
        <f t="shared" si="539"/>
        <v>2514700.9574838132</v>
      </c>
      <c r="Z421" s="155">
        <f t="shared" si="540"/>
        <v>2514700.9574838132</v>
      </c>
      <c r="AD421" s="155">
        <f t="shared" si="543"/>
        <v>2527781.1935206251</v>
      </c>
      <c r="AG421" s="155">
        <f t="shared" si="544"/>
        <v>2527781.1935206251</v>
      </c>
      <c r="AJ421" s="155">
        <f t="shared" si="545"/>
        <v>2527781.1935206251</v>
      </c>
      <c r="AM421" s="155">
        <f t="shared" si="546"/>
        <v>2527781.1935206251</v>
      </c>
      <c r="AN421" s="41">
        <f t="shared" si="547"/>
        <v>0.84259373117354164</v>
      </c>
    </row>
    <row r="422" spans="1:40" x14ac:dyDescent="0.15">
      <c r="A422" s="39" t="s">
        <v>51</v>
      </c>
      <c r="G422" s="41">
        <f t="shared" si="541"/>
        <v>0.80991373405420919</v>
      </c>
      <c r="H422" s="155"/>
      <c r="J422" s="155">
        <f t="shared" si="542"/>
        <v>-7060375.0722449832</v>
      </c>
      <c r="M422" s="155">
        <f t="shared" si="535"/>
        <v>-7060375.0722449832</v>
      </c>
      <c r="N422" s="41">
        <f t="shared" si="548"/>
        <v>0.80991373405420919</v>
      </c>
      <c r="Q422" s="155">
        <f t="shared" si="537"/>
        <v>-7978001.5593818361</v>
      </c>
      <c r="T422" s="155">
        <f t="shared" si="538"/>
        <v>-7978001.5593818361</v>
      </c>
      <c r="W422" s="155">
        <f t="shared" si="539"/>
        <v>-7978001.5593818361</v>
      </c>
      <c r="Z422" s="155">
        <f t="shared" si="540"/>
        <v>-7978001.5593818361</v>
      </c>
      <c r="AD422" s="155">
        <f t="shared" si="543"/>
        <v>-5339615.1063624201</v>
      </c>
      <c r="AG422" s="155">
        <f t="shared" si="544"/>
        <v>-5339615.1063624201</v>
      </c>
      <c r="AJ422" s="155">
        <f t="shared" si="545"/>
        <v>-5339615.1063624201</v>
      </c>
      <c r="AM422" s="155">
        <f t="shared" si="546"/>
        <v>-5339615.1063624201</v>
      </c>
      <c r="AN422" s="41">
        <f t="shared" si="547"/>
        <v>0.84259373117354164</v>
      </c>
    </row>
    <row r="423" spans="1:40" x14ac:dyDescent="0.15">
      <c r="A423" s="39" t="s">
        <v>66</v>
      </c>
      <c r="G423" s="41">
        <f t="shared" si="541"/>
        <v>0.80991373405420919</v>
      </c>
      <c r="H423" s="155"/>
      <c r="J423" s="155">
        <f t="shared" si="542"/>
        <v>2136870.5113658272</v>
      </c>
      <c r="M423" s="155">
        <f t="shared" si="535"/>
        <v>2136870.5113658272</v>
      </c>
      <c r="N423" s="41">
        <f t="shared" si="548"/>
        <v>0.80991373405420919</v>
      </c>
      <c r="Q423" s="155">
        <f t="shared" si="537"/>
        <v>1859446.7635531868</v>
      </c>
      <c r="T423" s="155">
        <f t="shared" si="538"/>
        <v>1859446.7635531868</v>
      </c>
      <c r="W423" s="155">
        <f t="shared" si="539"/>
        <v>1859446.7635531868</v>
      </c>
      <c r="Z423" s="155">
        <f t="shared" si="540"/>
        <v>1859446.7635531868</v>
      </c>
      <c r="AD423" s="155">
        <f t="shared" si="543"/>
        <v>1358371.3091158366</v>
      </c>
      <c r="AG423" s="155">
        <f t="shared" si="544"/>
        <v>1358371.3091158366</v>
      </c>
      <c r="AJ423" s="155">
        <f t="shared" si="545"/>
        <v>1358371.3091158366</v>
      </c>
      <c r="AM423" s="155">
        <f t="shared" si="546"/>
        <v>1358371.3091158366</v>
      </c>
      <c r="AN423" s="41">
        <f t="shared" si="547"/>
        <v>0.84259373117354164</v>
      </c>
    </row>
    <row r="424" spans="1:40" x14ac:dyDescent="0.15">
      <c r="A424" s="39" t="s">
        <v>78</v>
      </c>
      <c r="G424" s="41">
        <v>0.8072149946047571</v>
      </c>
      <c r="H424" s="155"/>
      <c r="J424" s="155">
        <f t="shared" si="542"/>
        <v>-56879573.436357774</v>
      </c>
      <c r="M424" s="155">
        <f t="shared" si="535"/>
        <v>-46379419.484118104</v>
      </c>
      <c r="N424" s="41">
        <f t="shared" si="548"/>
        <v>0.80674227535746201</v>
      </c>
      <c r="Q424" s="155">
        <f t="shared" si="537"/>
        <v>-50996877.868457928</v>
      </c>
      <c r="T424" s="155">
        <f t="shared" si="538"/>
        <v>-50996877.868457928</v>
      </c>
      <c r="W424" s="155">
        <f t="shared" si="539"/>
        <v>-50996877.868457928</v>
      </c>
      <c r="Z424" s="155">
        <f t="shared" si="540"/>
        <v>-50996877.868457928</v>
      </c>
      <c r="AD424" s="155">
        <f t="shared" si="543"/>
        <v>-52404048.615618706</v>
      </c>
      <c r="AG424" s="155">
        <f t="shared" si="544"/>
        <v>-52404048.615618706</v>
      </c>
      <c r="AJ424" s="155">
        <f t="shared" si="545"/>
        <v>-52404048.615618706</v>
      </c>
      <c r="AM424" s="155">
        <f t="shared" si="546"/>
        <v>-52404048.615618706</v>
      </c>
      <c r="AN424" s="41">
        <f t="shared" si="547"/>
        <v>0.78233549168939165</v>
      </c>
    </row>
    <row r="425" spans="1:40" x14ac:dyDescent="0.15">
      <c r="A425" s="39" t="s">
        <v>318</v>
      </c>
      <c r="G425" s="41">
        <f t="shared" si="541"/>
        <v>0.86846780255018952</v>
      </c>
      <c r="H425" s="155"/>
      <c r="J425" s="155">
        <f t="shared" si="542"/>
        <v>-15088885.831646012</v>
      </c>
      <c r="M425" s="155">
        <f t="shared" si="535"/>
        <v>-25347012.512679022</v>
      </c>
      <c r="N425" s="41">
        <f t="shared" si="548"/>
        <v>0.86846780255018952</v>
      </c>
      <c r="Q425" s="155">
        <f t="shared" si="537"/>
        <v>-7170991.5251851035</v>
      </c>
      <c r="T425" s="155">
        <f t="shared" si="538"/>
        <v>-7170991.5250659315</v>
      </c>
      <c r="W425" s="155">
        <f t="shared" si="539"/>
        <v>-7170991.5247191088</v>
      </c>
      <c r="Z425" s="155">
        <f t="shared" si="540"/>
        <v>-7170991.5243409174</v>
      </c>
      <c r="AD425" s="155">
        <f t="shared" si="543"/>
        <v>-997709.27282059728</v>
      </c>
      <c r="AG425" s="155">
        <f t="shared" si="544"/>
        <v>-997709.27282059728</v>
      </c>
      <c r="AJ425" s="155">
        <f t="shared" si="545"/>
        <v>-997709.27282059728</v>
      </c>
      <c r="AM425" s="155">
        <f t="shared" si="546"/>
        <v>-997709.27282059728</v>
      </c>
      <c r="AN425" s="41">
        <f t="shared" si="547"/>
        <v>0.86846780255018952</v>
      </c>
    </row>
    <row r="426" spans="1:40" ht="9" thickBot="1" x14ac:dyDescent="0.2">
      <c r="G426" s="155"/>
      <c r="H426" s="155"/>
      <c r="J426" s="181">
        <f>SUM(J387:J425)</f>
        <v>-109703458.26324247</v>
      </c>
      <c r="M426" s="181">
        <f>SUM(M387:M425)</f>
        <v>-61049448.146435812</v>
      </c>
      <c r="N426" s="40"/>
      <c r="Q426" s="181">
        <f>SUM(Q387:Q425)</f>
        <v>-55751751.223223165</v>
      </c>
      <c r="T426" s="181">
        <f>SUM(T387:T425)</f>
        <v>-55751751.223103993</v>
      </c>
      <c r="W426" s="181">
        <f>SUM(W387:W425)</f>
        <v>-55751751.222757176</v>
      </c>
      <c r="Z426" s="181">
        <f>SUM(Z387:Z425)</f>
        <v>-55751751.222378984</v>
      </c>
      <c r="AA426" s="41"/>
      <c r="AD426" s="181">
        <f>SUM(AD387:AD425)</f>
        <v>-5942434.1708404552</v>
      </c>
      <c r="AG426" s="181">
        <f>SUM(AG387:AG425)</f>
        <v>-5942434.1708404552</v>
      </c>
      <c r="AJ426" s="181">
        <f>SUM(AJ387:AJ425)</f>
        <v>-5942434.1708404552</v>
      </c>
      <c r="AM426" s="181">
        <f>SUM(AM387:AM425)</f>
        <v>-5942434.1708404552</v>
      </c>
      <c r="AN426" s="41"/>
    </row>
    <row r="427" spans="1:40" x14ac:dyDescent="0.15">
      <c r="G427" s="155"/>
      <c r="H427" s="155"/>
      <c r="N427" s="40"/>
    </row>
    <row r="428" spans="1:40" x14ac:dyDescent="0.15">
      <c r="G428" s="155"/>
      <c r="H428" s="155"/>
      <c r="N428" s="40"/>
    </row>
    <row r="429" spans="1:40" x14ac:dyDescent="0.15">
      <c r="A429" s="39" t="s">
        <v>58</v>
      </c>
      <c r="G429" s="155"/>
      <c r="H429" s="155"/>
      <c r="J429" s="155">
        <f>+J226*$N429</f>
        <v>3669551.4145359984</v>
      </c>
      <c r="M429" s="155">
        <f t="shared" ref="M429:M466" si="549">+M226*$N429</f>
        <v>3669551.4145359984</v>
      </c>
      <c r="N429" s="41">
        <f t="shared" ref="N429:N453" si="550">VLOOKUP(A429,$A$282:$N$320,14,FALSE)</f>
        <v>1</v>
      </c>
      <c r="Q429" s="155">
        <f t="shared" ref="Q429:Q466" si="551">+Q226*$AA521</f>
        <v>-1303328.5243455623</v>
      </c>
      <c r="T429" s="155">
        <f t="shared" ref="T429:T466" si="552">+T226*$AA521</f>
        <v>-1303328.5243455623</v>
      </c>
      <c r="W429" s="155">
        <f t="shared" ref="W429:W466" si="553">+W226*$AA521</f>
        <v>-1303328.5243455623</v>
      </c>
      <c r="Z429" s="155">
        <f t="shared" ref="Z429:Z466" si="554">+Z226*$AA521</f>
        <v>-1303328.5243455623</v>
      </c>
      <c r="AD429" s="155">
        <f>+AD226*$AN429</f>
        <v>-61325.195435006208</v>
      </c>
      <c r="AG429" s="155">
        <f>+AG226*$AN429</f>
        <v>-61325.195435006208</v>
      </c>
      <c r="AJ429" s="155">
        <f>+AJ226*$AN429</f>
        <v>-61325.195435006208</v>
      </c>
      <c r="AM429" s="155">
        <f>+AM226*$AN429</f>
        <v>-61325.195435006208</v>
      </c>
      <c r="AN429" s="41">
        <f t="shared" ref="AN429:AN466" si="555">VLOOKUP(A429,$A$282:$AN$320,40,FALSE)</f>
        <v>1</v>
      </c>
    </row>
    <row r="430" spans="1:40" x14ac:dyDescent="0.15">
      <c r="A430" s="39" t="s">
        <v>90</v>
      </c>
      <c r="G430" s="155"/>
      <c r="H430" s="155"/>
      <c r="J430" s="155">
        <f t="shared" ref="J430:J465" si="556">+J227*N430</f>
        <v>0</v>
      </c>
      <c r="M430" s="155">
        <f t="shared" si="549"/>
        <v>0</v>
      </c>
      <c r="N430" s="41">
        <f t="shared" si="550"/>
        <v>0</v>
      </c>
      <c r="Q430" s="155">
        <f t="shared" si="551"/>
        <v>0</v>
      </c>
      <c r="T430" s="155">
        <f t="shared" si="552"/>
        <v>0</v>
      </c>
      <c r="W430" s="155">
        <f t="shared" si="553"/>
        <v>0</v>
      </c>
      <c r="Z430" s="155">
        <f t="shared" si="554"/>
        <v>0</v>
      </c>
      <c r="AD430" s="155">
        <f t="shared" ref="AD430:AD466" si="557">+AD227*$AN430</f>
        <v>0</v>
      </c>
      <c r="AG430" s="155">
        <f t="shared" ref="AG430:AG466" si="558">+AG227*$AN430</f>
        <v>0</v>
      </c>
      <c r="AJ430" s="155">
        <f t="shared" ref="AJ430:AJ466" si="559">+AJ227*$AN430</f>
        <v>0</v>
      </c>
      <c r="AM430" s="155">
        <f t="shared" ref="AM430:AM466" si="560">+AM227*$AN430</f>
        <v>0</v>
      </c>
      <c r="AN430" s="41">
        <f t="shared" si="555"/>
        <v>0</v>
      </c>
    </row>
    <row r="431" spans="1:40" x14ac:dyDescent="0.15">
      <c r="A431" s="39" t="s">
        <v>39</v>
      </c>
      <c r="G431" s="155"/>
      <c r="H431" s="155"/>
      <c r="J431" s="155">
        <f t="shared" si="556"/>
        <v>201303.09</v>
      </c>
      <c r="M431" s="155">
        <f t="shared" si="549"/>
        <v>201303.09</v>
      </c>
      <c r="N431" s="41">
        <f t="shared" si="550"/>
        <v>1</v>
      </c>
      <c r="Q431" s="155">
        <f t="shared" si="551"/>
        <v>15484.850000000022</v>
      </c>
      <c r="T431" s="155">
        <f t="shared" si="552"/>
        <v>15484.850000000022</v>
      </c>
      <c r="W431" s="155">
        <f t="shared" si="553"/>
        <v>15484.850000000022</v>
      </c>
      <c r="Z431" s="155">
        <f t="shared" si="554"/>
        <v>15484.850000000022</v>
      </c>
      <c r="AD431" s="155">
        <f t="shared" si="557"/>
        <v>-77424.269999999975</v>
      </c>
      <c r="AG431" s="155">
        <f t="shared" si="558"/>
        <v>-77424.269999999975</v>
      </c>
      <c r="AJ431" s="155">
        <f t="shared" si="559"/>
        <v>-77424.269999999975</v>
      </c>
      <c r="AM431" s="155">
        <f t="shared" si="560"/>
        <v>-77424.269999999975</v>
      </c>
      <c r="AN431" s="41">
        <f t="shared" si="555"/>
        <v>1</v>
      </c>
    </row>
    <row r="432" spans="1:40" x14ac:dyDescent="0.15">
      <c r="A432" s="39" t="s">
        <v>88</v>
      </c>
      <c r="G432" s="155"/>
      <c r="H432" s="155"/>
      <c r="J432" s="155">
        <f t="shared" si="556"/>
        <v>0</v>
      </c>
      <c r="M432" s="155">
        <f t="shared" si="549"/>
        <v>0</v>
      </c>
      <c r="N432" s="41">
        <f t="shared" si="550"/>
        <v>0</v>
      </c>
      <c r="Q432" s="155">
        <f t="shared" si="551"/>
        <v>0</v>
      </c>
      <c r="T432" s="155">
        <f t="shared" si="552"/>
        <v>0</v>
      </c>
      <c r="W432" s="155">
        <f t="shared" si="553"/>
        <v>0</v>
      </c>
      <c r="Z432" s="155">
        <f t="shared" si="554"/>
        <v>0</v>
      </c>
      <c r="AD432" s="155">
        <f t="shared" si="557"/>
        <v>0</v>
      </c>
      <c r="AG432" s="155">
        <f t="shared" si="558"/>
        <v>0</v>
      </c>
      <c r="AJ432" s="155">
        <f t="shared" si="559"/>
        <v>0</v>
      </c>
      <c r="AM432" s="155">
        <f t="shared" si="560"/>
        <v>0</v>
      </c>
      <c r="AN432" s="41">
        <f t="shared" si="555"/>
        <v>0</v>
      </c>
    </row>
    <row r="433" spans="1:40" x14ac:dyDescent="0.15">
      <c r="A433" s="39" t="s">
        <v>37</v>
      </c>
      <c r="G433" s="155"/>
      <c r="H433" s="155"/>
      <c r="J433" s="155">
        <f t="shared" si="556"/>
        <v>588508.31999999995</v>
      </c>
      <c r="M433" s="155">
        <f t="shared" si="549"/>
        <v>588508.31999999995</v>
      </c>
      <c r="N433" s="41">
        <f t="shared" si="550"/>
        <v>1</v>
      </c>
      <c r="Q433" s="155">
        <f t="shared" si="551"/>
        <v>422518.79307692207</v>
      </c>
      <c r="T433" s="155">
        <f t="shared" si="552"/>
        <v>422518.79307692207</v>
      </c>
      <c r="W433" s="155">
        <f t="shared" si="553"/>
        <v>422518.79307692207</v>
      </c>
      <c r="Z433" s="155">
        <f t="shared" si="554"/>
        <v>422518.79307692207</v>
      </c>
      <c r="AD433" s="155">
        <f t="shared" si="557"/>
        <v>339524.0296153829</v>
      </c>
      <c r="AG433" s="155">
        <f t="shared" si="558"/>
        <v>339524.0296153829</v>
      </c>
      <c r="AJ433" s="155">
        <f t="shared" si="559"/>
        <v>339524.0296153829</v>
      </c>
      <c r="AM433" s="155">
        <f t="shared" si="560"/>
        <v>339524.0296153829</v>
      </c>
      <c r="AN433" s="41">
        <f t="shared" si="555"/>
        <v>1</v>
      </c>
    </row>
    <row r="434" spans="1:40" x14ac:dyDescent="0.15">
      <c r="A434" s="39" t="s">
        <v>77</v>
      </c>
      <c r="G434" s="155"/>
      <c r="H434" s="155"/>
      <c r="J434" s="155">
        <f t="shared" si="556"/>
        <v>237476.54869863004</v>
      </c>
      <c r="M434" s="155">
        <f t="shared" si="549"/>
        <v>237476.54869863004</v>
      </c>
      <c r="N434" s="41">
        <f t="shared" si="550"/>
        <v>1</v>
      </c>
      <c r="Q434" s="155">
        <f t="shared" si="551"/>
        <v>236902.27999999889</v>
      </c>
      <c r="T434" s="155">
        <f t="shared" si="552"/>
        <v>236902.27999999889</v>
      </c>
      <c r="W434" s="155">
        <f t="shared" si="553"/>
        <v>236902.27999999889</v>
      </c>
      <c r="Z434" s="155">
        <f t="shared" si="554"/>
        <v>236902.27999999889</v>
      </c>
      <c r="AD434" s="155">
        <f t="shared" si="557"/>
        <v>237285.12246575201</v>
      </c>
      <c r="AG434" s="155">
        <f t="shared" si="558"/>
        <v>237285.12246575201</v>
      </c>
      <c r="AJ434" s="155">
        <f t="shared" si="559"/>
        <v>237285.12246575201</v>
      </c>
      <c r="AM434" s="155">
        <f t="shared" si="560"/>
        <v>237285.12246575201</v>
      </c>
      <c r="AN434" s="41">
        <f t="shared" si="555"/>
        <v>1</v>
      </c>
    </row>
    <row r="435" spans="1:40" x14ac:dyDescent="0.15">
      <c r="A435" s="39" t="s">
        <v>294</v>
      </c>
      <c r="G435" s="155"/>
      <c r="H435" s="155"/>
      <c r="J435" s="155">
        <f t="shared" si="556"/>
        <v>491200.93823303364</v>
      </c>
      <c r="M435" s="155">
        <f t="shared" si="549"/>
        <v>491200.93823303364</v>
      </c>
      <c r="N435" s="41">
        <f t="shared" si="550"/>
        <v>0.8216</v>
      </c>
      <c r="Q435" s="155">
        <f t="shared" si="551"/>
        <v>491200.94711161335</v>
      </c>
      <c r="T435" s="155">
        <f t="shared" si="552"/>
        <v>491200.94711161335</v>
      </c>
      <c r="W435" s="155">
        <f t="shared" si="553"/>
        <v>491200.94711161335</v>
      </c>
      <c r="Z435" s="155">
        <f t="shared" si="554"/>
        <v>491200.94711161335</v>
      </c>
      <c r="AD435" s="155">
        <f t="shared" si="557"/>
        <v>492546.70313109749</v>
      </c>
      <c r="AG435" s="155">
        <f t="shared" si="558"/>
        <v>492546.70313109749</v>
      </c>
      <c r="AJ435" s="155">
        <f t="shared" si="559"/>
        <v>492546.70313109749</v>
      </c>
      <c r="AM435" s="155">
        <f t="shared" si="560"/>
        <v>492546.70313109749</v>
      </c>
      <c r="AN435" s="41">
        <f t="shared" si="555"/>
        <v>0.8216</v>
      </c>
    </row>
    <row r="436" spans="1:40" x14ac:dyDescent="0.15">
      <c r="A436" s="39" t="s">
        <v>295</v>
      </c>
      <c r="G436" s="155"/>
      <c r="H436" s="155"/>
      <c r="J436" s="155">
        <f t="shared" si="556"/>
        <v>-294448.77166457614</v>
      </c>
      <c r="M436" s="155">
        <f t="shared" si="549"/>
        <v>-294448.77166457614</v>
      </c>
      <c r="N436" s="41">
        <f t="shared" si="550"/>
        <v>0.8216</v>
      </c>
      <c r="Q436" s="155">
        <f t="shared" si="551"/>
        <v>-294415.31520733645</v>
      </c>
      <c r="T436" s="155">
        <f t="shared" si="552"/>
        <v>-294415.31520733645</v>
      </c>
      <c r="W436" s="155">
        <f t="shared" si="553"/>
        <v>-294415.31520733645</v>
      </c>
      <c r="Z436" s="155">
        <f t="shared" si="554"/>
        <v>-294415.31520733645</v>
      </c>
      <c r="AD436" s="155">
        <f t="shared" si="557"/>
        <v>-295221.93250927032</v>
      </c>
      <c r="AG436" s="155">
        <f t="shared" si="558"/>
        <v>-295221.93250927032</v>
      </c>
      <c r="AJ436" s="155">
        <f t="shared" si="559"/>
        <v>-295221.93250927032</v>
      </c>
      <c r="AM436" s="155">
        <f t="shared" si="560"/>
        <v>-295221.93250927032</v>
      </c>
      <c r="AN436" s="41">
        <f t="shared" si="555"/>
        <v>0.8216</v>
      </c>
    </row>
    <row r="437" spans="1:40" x14ac:dyDescent="0.15">
      <c r="A437" s="39" t="s">
        <v>49</v>
      </c>
      <c r="G437" s="155"/>
      <c r="H437" s="155"/>
      <c r="J437" s="155">
        <f t="shared" si="556"/>
        <v>0</v>
      </c>
      <c r="M437" s="155">
        <f t="shared" si="549"/>
        <v>0</v>
      </c>
      <c r="N437" s="41">
        <f t="shared" si="550"/>
        <v>1</v>
      </c>
      <c r="Q437" s="155">
        <f t="shared" si="551"/>
        <v>24389.999999999985</v>
      </c>
      <c r="T437" s="155">
        <f t="shared" si="552"/>
        <v>24389.999999999985</v>
      </c>
      <c r="W437" s="155">
        <f t="shared" si="553"/>
        <v>24389.999999999985</v>
      </c>
      <c r="Z437" s="155">
        <f t="shared" si="554"/>
        <v>24389.999999999985</v>
      </c>
      <c r="AD437" s="155">
        <f t="shared" si="557"/>
        <v>14227.500000000002</v>
      </c>
      <c r="AG437" s="155">
        <f t="shared" si="558"/>
        <v>14227.500000000002</v>
      </c>
      <c r="AJ437" s="155">
        <f t="shared" si="559"/>
        <v>14227.500000000002</v>
      </c>
      <c r="AM437" s="155">
        <f t="shared" si="560"/>
        <v>14227.500000000002</v>
      </c>
      <c r="AN437" s="41">
        <f t="shared" si="555"/>
        <v>1</v>
      </c>
    </row>
    <row r="438" spans="1:40" x14ac:dyDescent="0.15">
      <c r="A438" s="39" t="s">
        <v>297</v>
      </c>
      <c r="G438" s="155"/>
      <c r="H438" s="155"/>
      <c r="J438" s="155">
        <f t="shared" si="556"/>
        <v>0</v>
      </c>
      <c r="M438" s="155">
        <f t="shared" si="549"/>
        <v>0</v>
      </c>
      <c r="N438" s="41">
        <f t="shared" si="550"/>
        <v>1</v>
      </c>
      <c r="Q438" s="155">
        <f t="shared" si="551"/>
        <v>0</v>
      </c>
      <c r="T438" s="155">
        <f t="shared" si="552"/>
        <v>0</v>
      </c>
      <c r="W438" s="155">
        <f t="shared" si="553"/>
        <v>0</v>
      </c>
      <c r="Z438" s="155">
        <f t="shared" si="554"/>
        <v>0</v>
      </c>
      <c r="AD438" s="155">
        <f t="shared" si="557"/>
        <v>0</v>
      </c>
      <c r="AG438" s="155">
        <f t="shared" si="558"/>
        <v>0</v>
      </c>
      <c r="AJ438" s="155">
        <f t="shared" si="559"/>
        <v>0</v>
      </c>
      <c r="AM438" s="155">
        <f t="shared" si="560"/>
        <v>0</v>
      </c>
      <c r="AN438" s="41">
        <f t="shared" si="555"/>
        <v>1</v>
      </c>
    </row>
    <row r="439" spans="1:40" x14ac:dyDescent="0.15">
      <c r="A439" s="39" t="s">
        <v>299</v>
      </c>
      <c r="G439" s="155"/>
      <c r="H439" s="155"/>
      <c r="J439" s="155">
        <f t="shared" si="556"/>
        <v>46152.404999999984</v>
      </c>
      <c r="M439" s="155">
        <f t="shared" si="549"/>
        <v>46152.404999999984</v>
      </c>
      <c r="N439" s="41">
        <f t="shared" si="550"/>
        <v>1</v>
      </c>
      <c r="Q439" s="155">
        <f t="shared" si="551"/>
        <v>46184.039999999979</v>
      </c>
      <c r="T439" s="155">
        <f t="shared" si="552"/>
        <v>46184.039999999979</v>
      </c>
      <c r="W439" s="155">
        <f t="shared" si="553"/>
        <v>46184.039999999979</v>
      </c>
      <c r="Z439" s="155">
        <f t="shared" si="554"/>
        <v>46184.039999999979</v>
      </c>
      <c r="AD439" s="155">
        <f t="shared" si="557"/>
        <v>46184.039999999979</v>
      </c>
      <c r="AG439" s="155">
        <f t="shared" si="558"/>
        <v>46184.039999999979</v>
      </c>
      <c r="AJ439" s="155">
        <f t="shared" si="559"/>
        <v>46184.039999999979</v>
      </c>
      <c r="AM439" s="155">
        <f t="shared" si="560"/>
        <v>46184.039999999979</v>
      </c>
      <c r="AN439" s="41">
        <f t="shared" si="555"/>
        <v>1</v>
      </c>
    </row>
    <row r="440" spans="1:40" x14ac:dyDescent="0.15">
      <c r="A440" s="39" t="s">
        <v>300</v>
      </c>
      <c r="G440" s="155"/>
      <c r="H440" s="155"/>
      <c r="J440" s="155">
        <f t="shared" si="556"/>
        <v>2744.754873528464</v>
      </c>
      <c r="M440" s="155">
        <f t="shared" si="549"/>
        <v>2744.754873528464</v>
      </c>
      <c r="N440" s="41">
        <f t="shared" si="550"/>
        <v>1</v>
      </c>
      <c r="Q440" s="155">
        <f t="shared" si="551"/>
        <v>-50541.631405219778</v>
      </c>
      <c r="T440" s="155">
        <f t="shared" si="552"/>
        <v>-50541.631405219778</v>
      </c>
      <c r="W440" s="155">
        <f t="shared" si="553"/>
        <v>-50541.631405219778</v>
      </c>
      <c r="Z440" s="155">
        <f t="shared" si="554"/>
        <v>-50541.631405219778</v>
      </c>
      <c r="AD440" s="155">
        <f t="shared" si="557"/>
        <v>18837.381348034454</v>
      </c>
      <c r="AG440" s="155">
        <f t="shared" si="558"/>
        <v>18837.381348034454</v>
      </c>
      <c r="AJ440" s="155">
        <f t="shared" si="559"/>
        <v>18837.381348034454</v>
      </c>
      <c r="AM440" s="155">
        <f t="shared" si="560"/>
        <v>18837.381348034454</v>
      </c>
      <c r="AN440" s="41">
        <f t="shared" si="555"/>
        <v>1</v>
      </c>
    </row>
    <row r="441" spans="1:40" x14ac:dyDescent="0.15">
      <c r="A441" s="39" t="s">
        <v>302</v>
      </c>
      <c r="G441" s="155"/>
      <c r="H441" s="155"/>
      <c r="J441" s="155">
        <f t="shared" si="556"/>
        <v>45972.917499999967</v>
      </c>
      <c r="M441" s="155">
        <f t="shared" si="549"/>
        <v>45972.917499999967</v>
      </c>
      <c r="N441" s="41">
        <f t="shared" si="550"/>
        <v>1</v>
      </c>
      <c r="Q441" s="155">
        <f t="shared" si="551"/>
        <v>-43464.582500000091</v>
      </c>
      <c r="T441" s="155">
        <f t="shared" si="552"/>
        <v>-43464.582500000091</v>
      </c>
      <c r="W441" s="155">
        <f t="shared" si="553"/>
        <v>-43464.582500000091</v>
      </c>
      <c r="Z441" s="155">
        <f t="shared" si="554"/>
        <v>-43464.582500000091</v>
      </c>
      <c r="AD441" s="155">
        <f t="shared" si="557"/>
        <v>-21732.300000000039</v>
      </c>
      <c r="AG441" s="155">
        <f t="shared" si="558"/>
        <v>-21732.300000000039</v>
      </c>
      <c r="AJ441" s="155">
        <f t="shared" si="559"/>
        <v>-21732.300000000039</v>
      </c>
      <c r="AM441" s="155">
        <f t="shared" si="560"/>
        <v>-21732.300000000039</v>
      </c>
      <c r="AN441" s="41">
        <f t="shared" si="555"/>
        <v>1</v>
      </c>
    </row>
    <row r="442" spans="1:40" x14ac:dyDescent="0.15">
      <c r="A442" s="39" t="s">
        <v>59</v>
      </c>
      <c r="G442" s="155"/>
      <c r="H442" s="155"/>
      <c r="J442" s="155">
        <f t="shared" si="556"/>
        <v>568562.15724549175</v>
      </c>
      <c r="M442" s="155">
        <f t="shared" si="549"/>
        <v>568562.15724549175</v>
      </c>
      <c r="N442" s="41">
        <f t="shared" si="550"/>
        <v>1</v>
      </c>
      <c r="Q442" s="155">
        <f t="shared" si="551"/>
        <v>-466675.26190138143</v>
      </c>
      <c r="T442" s="155">
        <f t="shared" si="552"/>
        <v>-466675.26190138143</v>
      </c>
      <c r="W442" s="155">
        <f t="shared" si="553"/>
        <v>-466675.26190138143</v>
      </c>
      <c r="Z442" s="155">
        <f t="shared" si="554"/>
        <v>-466675.26190138143</v>
      </c>
      <c r="AD442" s="155">
        <f t="shared" si="557"/>
        <v>45530.108666744578</v>
      </c>
      <c r="AG442" s="155">
        <f t="shared" si="558"/>
        <v>45530.108666744578</v>
      </c>
      <c r="AJ442" s="155">
        <f t="shared" si="559"/>
        <v>45530.108666744578</v>
      </c>
      <c r="AM442" s="155">
        <f t="shared" si="560"/>
        <v>45530.108666744578</v>
      </c>
      <c r="AN442" s="41">
        <f t="shared" si="555"/>
        <v>1</v>
      </c>
    </row>
    <row r="443" spans="1:40" x14ac:dyDescent="0.15">
      <c r="A443" s="39" t="s">
        <v>53</v>
      </c>
      <c r="G443" s="155"/>
      <c r="H443" s="155"/>
      <c r="J443" s="155">
        <f t="shared" si="556"/>
        <v>9698.2264500000001</v>
      </c>
      <c r="M443" s="155">
        <f t="shared" si="549"/>
        <v>9698.2264500000001</v>
      </c>
      <c r="N443" s="41">
        <f t="shared" si="550"/>
        <v>0.11</v>
      </c>
      <c r="Q443" s="155">
        <f t="shared" si="551"/>
        <v>-12621.133799999998</v>
      </c>
      <c r="T443" s="155">
        <f t="shared" si="552"/>
        <v>-12621.133799999998</v>
      </c>
      <c r="W443" s="155">
        <f t="shared" si="553"/>
        <v>-12621.133799999998</v>
      </c>
      <c r="Z443" s="155">
        <f t="shared" si="554"/>
        <v>-12621.133799999998</v>
      </c>
      <c r="AD443" s="155">
        <f t="shared" si="557"/>
        <v>0</v>
      </c>
      <c r="AG443" s="155">
        <f t="shared" si="558"/>
        <v>0</v>
      </c>
      <c r="AJ443" s="155">
        <f t="shared" si="559"/>
        <v>0</v>
      </c>
      <c r="AM443" s="155">
        <f t="shared" si="560"/>
        <v>0</v>
      </c>
      <c r="AN443" s="41">
        <f t="shared" si="555"/>
        <v>0.11</v>
      </c>
    </row>
    <row r="444" spans="1:40" x14ac:dyDescent="0.15">
      <c r="A444" s="39" t="s">
        <v>303</v>
      </c>
      <c r="G444" s="155"/>
      <c r="H444" s="155"/>
      <c r="J444" s="155">
        <f t="shared" si="556"/>
        <v>677931.12140000053</v>
      </c>
      <c r="M444" s="155">
        <f t="shared" si="549"/>
        <v>677931.12140000053</v>
      </c>
      <c r="N444" s="41">
        <f t="shared" si="550"/>
        <v>0.8216</v>
      </c>
      <c r="Q444" s="155">
        <f t="shared" si="551"/>
        <v>620492.44920000096</v>
      </c>
      <c r="T444" s="155">
        <f t="shared" si="552"/>
        <v>620492.44920000096</v>
      </c>
      <c r="W444" s="155">
        <f t="shared" si="553"/>
        <v>620492.44920000096</v>
      </c>
      <c r="Z444" s="155">
        <f t="shared" si="554"/>
        <v>620492.44920000096</v>
      </c>
      <c r="AD444" s="155">
        <f t="shared" si="557"/>
        <v>613122.08099999989</v>
      </c>
      <c r="AG444" s="155">
        <f t="shared" si="558"/>
        <v>613122.08099999989</v>
      </c>
      <c r="AJ444" s="155">
        <f t="shared" si="559"/>
        <v>613122.08099999989</v>
      </c>
      <c r="AM444" s="155">
        <f t="shared" si="560"/>
        <v>613122.08099999989</v>
      </c>
      <c r="AN444" s="41">
        <f t="shared" si="555"/>
        <v>0.8216</v>
      </c>
    </row>
    <row r="445" spans="1:40" x14ac:dyDescent="0.15">
      <c r="A445" s="39" t="s">
        <v>304</v>
      </c>
      <c r="G445" s="155"/>
      <c r="H445" s="155"/>
      <c r="J445" s="155">
        <f t="shared" si="556"/>
        <v>-1302964.5538000001</v>
      </c>
      <c r="M445" s="155">
        <f t="shared" si="549"/>
        <v>-1302964.5538000001</v>
      </c>
      <c r="N445" s="41">
        <f t="shared" si="550"/>
        <v>0.8216</v>
      </c>
      <c r="Q445" s="155">
        <f t="shared" si="551"/>
        <v>-1339411.7568000001</v>
      </c>
      <c r="T445" s="155">
        <f t="shared" si="552"/>
        <v>-1339411.7568000001</v>
      </c>
      <c r="W445" s="155">
        <f t="shared" si="553"/>
        <v>-1339411.7568000001</v>
      </c>
      <c r="Z445" s="155">
        <f t="shared" si="554"/>
        <v>-1339411.7568000001</v>
      </c>
      <c r="AD445" s="155">
        <f t="shared" si="557"/>
        <v>-1357027.6824</v>
      </c>
      <c r="AG445" s="155">
        <f t="shared" si="558"/>
        <v>-1357027.6824</v>
      </c>
      <c r="AJ445" s="155">
        <f t="shared" si="559"/>
        <v>-1357027.6824</v>
      </c>
      <c r="AM445" s="155">
        <f t="shared" si="560"/>
        <v>-1357027.6824</v>
      </c>
      <c r="AN445" s="41">
        <f t="shared" si="555"/>
        <v>0.8216</v>
      </c>
    </row>
    <row r="446" spans="1:40" x14ac:dyDescent="0.15">
      <c r="A446" s="39" t="s">
        <v>41</v>
      </c>
      <c r="G446" s="155"/>
      <c r="H446" s="155"/>
      <c r="J446" s="155">
        <f t="shared" si="556"/>
        <v>209297.17538600066</v>
      </c>
      <c r="M446" s="155">
        <f t="shared" si="549"/>
        <v>209297.17538600066</v>
      </c>
      <c r="N446" s="41">
        <f t="shared" si="550"/>
        <v>0.8216</v>
      </c>
      <c r="Q446" s="155">
        <f t="shared" si="551"/>
        <v>210637.20293200022</v>
      </c>
      <c r="T446" s="155">
        <f t="shared" si="552"/>
        <v>210637.20293200022</v>
      </c>
      <c r="W446" s="155">
        <f t="shared" si="553"/>
        <v>210637.20293200022</v>
      </c>
      <c r="Z446" s="155">
        <f t="shared" si="554"/>
        <v>210637.20293200022</v>
      </c>
      <c r="AD446" s="155">
        <f t="shared" si="557"/>
        <v>159691.46466647962</v>
      </c>
      <c r="AG446" s="155">
        <f t="shared" si="558"/>
        <v>159691.46466647962</v>
      </c>
      <c r="AJ446" s="155">
        <f t="shared" si="559"/>
        <v>159691.46466647962</v>
      </c>
      <c r="AM446" s="155">
        <f t="shared" si="560"/>
        <v>159691.46466647962</v>
      </c>
      <c r="AN446" s="41">
        <f t="shared" si="555"/>
        <v>0.8216</v>
      </c>
    </row>
    <row r="447" spans="1:40" x14ac:dyDescent="0.15">
      <c r="A447" s="39" t="s">
        <v>70</v>
      </c>
      <c r="G447" s="155"/>
      <c r="H447" s="155"/>
      <c r="J447" s="155">
        <f t="shared" si="556"/>
        <v>0</v>
      </c>
      <c r="M447" s="155">
        <f t="shared" si="549"/>
        <v>0</v>
      </c>
      <c r="N447" s="41">
        <f t="shared" si="550"/>
        <v>1</v>
      </c>
      <c r="Q447" s="155">
        <f t="shared" si="551"/>
        <v>0</v>
      </c>
      <c r="T447" s="155">
        <f t="shared" si="552"/>
        <v>0</v>
      </c>
      <c r="W447" s="155">
        <f t="shared" si="553"/>
        <v>0</v>
      </c>
      <c r="Z447" s="155">
        <f t="shared" si="554"/>
        <v>0</v>
      </c>
      <c r="AD447" s="155">
        <f t="shared" si="557"/>
        <v>0</v>
      </c>
      <c r="AG447" s="155">
        <f t="shared" si="558"/>
        <v>0</v>
      </c>
      <c r="AJ447" s="155">
        <f t="shared" si="559"/>
        <v>0</v>
      </c>
      <c r="AM447" s="155">
        <f t="shared" si="560"/>
        <v>0</v>
      </c>
      <c r="AN447" s="41">
        <f t="shared" si="555"/>
        <v>1</v>
      </c>
    </row>
    <row r="448" spans="1:40" x14ac:dyDescent="0.15">
      <c r="A448" s="39" t="s">
        <v>305</v>
      </c>
      <c r="G448" s="155"/>
      <c r="H448" s="155"/>
      <c r="J448" s="155">
        <f t="shared" si="556"/>
        <v>374726.52295281593</v>
      </c>
      <c r="M448" s="155">
        <f t="shared" si="549"/>
        <v>374726.52295281593</v>
      </c>
      <c r="N448" s="41">
        <f t="shared" si="550"/>
        <v>0.8216</v>
      </c>
      <c r="Q448" s="155">
        <f t="shared" si="551"/>
        <v>-158671.33079650145</v>
      </c>
      <c r="T448" s="155">
        <f t="shared" si="552"/>
        <v>-158671.33079650145</v>
      </c>
      <c r="W448" s="155">
        <f t="shared" si="553"/>
        <v>-158671.33079650145</v>
      </c>
      <c r="Z448" s="155">
        <f t="shared" si="554"/>
        <v>-158671.33079650145</v>
      </c>
      <c r="AD448" s="155">
        <f t="shared" si="557"/>
        <v>-398413.88012281439</v>
      </c>
      <c r="AG448" s="155">
        <f t="shared" si="558"/>
        <v>-398413.88012281439</v>
      </c>
      <c r="AJ448" s="155">
        <f t="shared" si="559"/>
        <v>-398413.88012281439</v>
      </c>
      <c r="AM448" s="155">
        <f t="shared" si="560"/>
        <v>-398413.88012281439</v>
      </c>
      <c r="AN448" s="41">
        <f t="shared" si="555"/>
        <v>0.8216</v>
      </c>
    </row>
    <row r="449" spans="1:40" x14ac:dyDescent="0.15">
      <c r="A449" s="39" t="s">
        <v>306</v>
      </c>
      <c r="G449" s="155"/>
      <c r="H449" s="155"/>
      <c r="J449" s="155">
        <f t="shared" si="556"/>
        <v>-133584.56020000001</v>
      </c>
      <c r="M449" s="155">
        <f t="shared" si="549"/>
        <v>-133584.56020000001</v>
      </c>
      <c r="N449" s="41">
        <f t="shared" si="550"/>
        <v>0.8216</v>
      </c>
      <c r="Q449" s="155">
        <f t="shared" si="551"/>
        <v>0</v>
      </c>
      <c r="T449" s="155">
        <f t="shared" si="552"/>
        <v>0</v>
      </c>
      <c r="W449" s="155">
        <f t="shared" si="553"/>
        <v>0</v>
      </c>
      <c r="Z449" s="155">
        <f t="shared" si="554"/>
        <v>0</v>
      </c>
      <c r="AD449" s="155">
        <f t="shared" si="557"/>
        <v>0</v>
      </c>
      <c r="AG449" s="155">
        <f t="shared" si="558"/>
        <v>0</v>
      </c>
      <c r="AJ449" s="155">
        <f t="shared" si="559"/>
        <v>0</v>
      </c>
      <c r="AM449" s="155">
        <f t="shared" si="560"/>
        <v>0</v>
      </c>
      <c r="AN449" s="41">
        <f t="shared" si="555"/>
        <v>0.8216</v>
      </c>
    </row>
    <row r="450" spans="1:40" x14ac:dyDescent="0.15">
      <c r="A450" s="39" t="s">
        <v>75</v>
      </c>
      <c r="G450" s="155"/>
      <c r="H450" s="155"/>
      <c r="J450" s="155">
        <f t="shared" si="556"/>
        <v>-163721.36314288893</v>
      </c>
      <c r="M450" s="155">
        <f t="shared" si="549"/>
        <v>-163721.36314288893</v>
      </c>
      <c r="N450" s="41">
        <f t="shared" si="550"/>
        <v>0.8216</v>
      </c>
      <c r="Q450" s="155">
        <f t="shared" si="551"/>
        <v>98150.394748384264</v>
      </c>
      <c r="T450" s="155">
        <f t="shared" si="552"/>
        <v>98150.394748384264</v>
      </c>
      <c r="W450" s="155">
        <f t="shared" si="553"/>
        <v>98150.394748384264</v>
      </c>
      <c r="Z450" s="155">
        <f t="shared" si="554"/>
        <v>98150.394748384264</v>
      </c>
      <c r="AD450" s="155">
        <f t="shared" si="557"/>
        <v>213553.46954164395</v>
      </c>
      <c r="AG450" s="155">
        <f t="shared" si="558"/>
        <v>213553.46954164395</v>
      </c>
      <c r="AJ450" s="155">
        <f t="shared" si="559"/>
        <v>213553.46954164395</v>
      </c>
      <c r="AM450" s="155">
        <f t="shared" si="560"/>
        <v>213553.46954164395</v>
      </c>
      <c r="AN450" s="41">
        <f t="shared" si="555"/>
        <v>0.8216</v>
      </c>
    </row>
    <row r="451" spans="1:40" x14ac:dyDescent="0.15">
      <c r="A451" s="39" t="s">
        <v>38</v>
      </c>
      <c r="G451" s="155"/>
      <c r="H451" s="155"/>
      <c r="J451" s="155">
        <f t="shared" si="556"/>
        <v>1090761.3486574604</v>
      </c>
      <c r="M451" s="155">
        <f t="shared" si="549"/>
        <v>1090761.3486574604</v>
      </c>
      <c r="N451" s="41">
        <f t="shared" si="550"/>
        <v>0.99525675162766813</v>
      </c>
      <c r="Q451" s="155">
        <f t="shared" si="551"/>
        <v>783110.76251031901</v>
      </c>
      <c r="T451" s="155">
        <f t="shared" si="552"/>
        <v>783110.76251031901</v>
      </c>
      <c r="W451" s="155">
        <f t="shared" si="553"/>
        <v>783110.76251031901</v>
      </c>
      <c r="Z451" s="155">
        <f t="shared" si="554"/>
        <v>783110.76251031901</v>
      </c>
      <c r="AD451" s="155">
        <f t="shared" si="557"/>
        <v>629285.47043413739</v>
      </c>
      <c r="AG451" s="155">
        <f t="shared" si="558"/>
        <v>629285.47043413739</v>
      </c>
      <c r="AJ451" s="155">
        <f t="shared" si="559"/>
        <v>629285.47043413739</v>
      </c>
      <c r="AM451" s="155">
        <f t="shared" si="560"/>
        <v>629285.47043413739</v>
      </c>
      <c r="AN451" s="41">
        <f t="shared" si="555"/>
        <v>0.99525675162766813</v>
      </c>
    </row>
    <row r="452" spans="1:40" x14ac:dyDescent="0.15">
      <c r="A452" s="39" t="s">
        <v>80</v>
      </c>
      <c r="G452" s="155"/>
      <c r="H452" s="155"/>
      <c r="J452" s="155">
        <f t="shared" si="556"/>
        <v>-6074353.0054065688</v>
      </c>
      <c r="M452" s="155">
        <f t="shared" si="549"/>
        <v>-6074353.0054065688</v>
      </c>
      <c r="N452" s="41">
        <f t="shared" si="550"/>
        <v>0.80991373405420919</v>
      </c>
      <c r="Q452" s="155">
        <f t="shared" si="551"/>
        <v>-6286752.3937095338</v>
      </c>
      <c r="T452" s="155">
        <f t="shared" si="552"/>
        <v>-6286752.3937095338</v>
      </c>
      <c r="W452" s="155">
        <f t="shared" si="553"/>
        <v>-6286752.3937095338</v>
      </c>
      <c r="Z452" s="155">
        <f t="shared" si="554"/>
        <v>-6286752.3937095338</v>
      </c>
      <c r="AD452" s="155">
        <f t="shared" si="557"/>
        <v>-6319452.9838015623</v>
      </c>
      <c r="AG452" s="155">
        <f t="shared" si="558"/>
        <v>-6319452.9838015623</v>
      </c>
      <c r="AJ452" s="155">
        <f t="shared" si="559"/>
        <v>-6319452.9838015623</v>
      </c>
      <c r="AM452" s="155">
        <f t="shared" si="560"/>
        <v>-6319452.9838015623</v>
      </c>
      <c r="AN452" s="41">
        <f t="shared" si="555"/>
        <v>0.84259373117354164</v>
      </c>
    </row>
    <row r="453" spans="1:40" x14ac:dyDescent="0.15">
      <c r="A453" s="39" t="s">
        <v>627</v>
      </c>
      <c r="G453" s="155"/>
      <c r="H453" s="155"/>
      <c r="J453" s="155">
        <f t="shared" si="556"/>
        <v>408872.44691348413</v>
      </c>
      <c r="M453" s="155">
        <f t="shared" si="549"/>
        <v>408872.44691348413</v>
      </c>
      <c r="N453" s="41">
        <f t="shared" si="550"/>
        <v>1</v>
      </c>
      <c r="Q453" s="155">
        <f t="shared" si="551"/>
        <v>-938876.31792078307</v>
      </c>
      <c r="T453" s="155">
        <f t="shared" si="552"/>
        <v>-938876.31792078307</v>
      </c>
      <c r="W453" s="155">
        <f t="shared" si="553"/>
        <v>-938876.31792078307</v>
      </c>
      <c r="Z453" s="155">
        <f t="shared" si="554"/>
        <v>-938876.31792078307</v>
      </c>
      <c r="AD453" s="155">
        <f t="shared" si="557"/>
        <v>0</v>
      </c>
      <c r="AG453" s="155">
        <f t="shared" si="558"/>
        <v>0</v>
      </c>
      <c r="AJ453" s="155">
        <f t="shared" si="559"/>
        <v>0</v>
      </c>
      <c r="AM453" s="155">
        <f t="shared" si="560"/>
        <v>0</v>
      </c>
      <c r="AN453" s="41">
        <f t="shared" si="555"/>
        <v>1</v>
      </c>
    </row>
    <row r="454" spans="1:40" x14ac:dyDescent="0.15">
      <c r="A454" s="39" t="s">
        <v>638</v>
      </c>
      <c r="G454" s="155"/>
      <c r="H454" s="155"/>
      <c r="J454" s="155">
        <f t="shared" si="556"/>
        <v>0</v>
      </c>
      <c r="M454" s="155">
        <f t="shared" si="549"/>
        <v>0</v>
      </c>
      <c r="N454" s="41">
        <v>0</v>
      </c>
      <c r="Q454" s="155">
        <f t="shared" si="551"/>
        <v>0</v>
      </c>
      <c r="T454" s="155">
        <f t="shared" si="552"/>
        <v>0</v>
      </c>
      <c r="W454" s="155">
        <f t="shared" si="553"/>
        <v>0</v>
      </c>
      <c r="Z454" s="155">
        <f t="shared" si="554"/>
        <v>0</v>
      </c>
      <c r="AD454" s="155">
        <f t="shared" si="557"/>
        <v>0</v>
      </c>
      <c r="AG454" s="155">
        <f t="shared" si="558"/>
        <v>0</v>
      </c>
      <c r="AJ454" s="155">
        <f t="shared" si="559"/>
        <v>0</v>
      </c>
      <c r="AM454" s="155">
        <f t="shared" si="560"/>
        <v>0</v>
      </c>
      <c r="AN454" s="41">
        <v>0</v>
      </c>
    </row>
    <row r="455" spans="1:40" x14ac:dyDescent="0.15">
      <c r="A455" s="39" t="s">
        <v>1036</v>
      </c>
      <c r="G455" s="155"/>
      <c r="H455" s="155"/>
      <c r="J455" s="155">
        <f t="shared" si="556"/>
        <v>-827342.03662046883</v>
      </c>
      <c r="M455" s="155">
        <f t="shared" si="549"/>
        <v>-827342.03662046883</v>
      </c>
      <c r="N455" s="41">
        <f t="shared" ref="N455:N463" si="561">VLOOKUP(A455,$A$282:$N$320,14,FALSE)</f>
        <v>1</v>
      </c>
      <c r="Q455" s="155">
        <f t="shared" si="551"/>
        <v>-1826803.9097596072</v>
      </c>
      <c r="T455" s="155">
        <f t="shared" si="552"/>
        <v>-1826803.9097596072</v>
      </c>
      <c r="W455" s="155">
        <f t="shared" si="553"/>
        <v>-1826803.9097596072</v>
      </c>
      <c r="Z455" s="155">
        <f t="shared" si="554"/>
        <v>-1826803.9097596072</v>
      </c>
      <c r="AD455" s="155">
        <f t="shared" si="557"/>
        <v>763155.35619074083</v>
      </c>
      <c r="AG455" s="155">
        <f t="shared" si="558"/>
        <v>763155.35619074083</v>
      </c>
      <c r="AJ455" s="155">
        <f t="shared" si="559"/>
        <v>763155.35619074083</v>
      </c>
      <c r="AM455" s="155">
        <f t="shared" si="560"/>
        <v>763155.35619074083</v>
      </c>
      <c r="AN455" s="41">
        <f t="shared" si="555"/>
        <v>1</v>
      </c>
    </row>
    <row r="456" spans="1:40" x14ac:dyDescent="0.15">
      <c r="A456" s="39" t="s">
        <v>622</v>
      </c>
      <c r="G456" s="155"/>
      <c r="H456" s="155"/>
      <c r="J456" s="155">
        <f t="shared" si="556"/>
        <v>0</v>
      </c>
      <c r="M456" s="155">
        <f t="shared" si="549"/>
        <v>0</v>
      </c>
      <c r="N456" s="41">
        <f t="shared" si="561"/>
        <v>1</v>
      </c>
      <c r="Q456" s="155">
        <f t="shared" si="551"/>
        <v>0</v>
      </c>
      <c r="T456" s="155">
        <f t="shared" si="552"/>
        <v>0</v>
      </c>
      <c r="W456" s="155">
        <f t="shared" si="553"/>
        <v>0</v>
      </c>
      <c r="Z456" s="155">
        <f t="shared" si="554"/>
        <v>0</v>
      </c>
      <c r="AD456" s="155">
        <f t="shared" si="557"/>
        <v>0</v>
      </c>
      <c r="AG456" s="155">
        <f t="shared" si="558"/>
        <v>0</v>
      </c>
      <c r="AJ456" s="155">
        <f t="shared" si="559"/>
        <v>0</v>
      </c>
      <c r="AM456" s="155">
        <f t="shared" si="560"/>
        <v>0</v>
      </c>
      <c r="AN456" s="41">
        <f t="shared" si="555"/>
        <v>1</v>
      </c>
    </row>
    <row r="457" spans="1:40" x14ac:dyDescent="0.15">
      <c r="A457" s="39" t="s">
        <v>1028</v>
      </c>
      <c r="G457" s="155"/>
      <c r="H457" s="155"/>
      <c r="J457" s="155">
        <f>+J254*N457</f>
        <v>-597618</v>
      </c>
      <c r="M457" s="155">
        <f t="shared" si="549"/>
        <v>-597618</v>
      </c>
      <c r="N457" s="41">
        <f t="shared" si="561"/>
        <v>1</v>
      </c>
      <c r="Q457" s="155">
        <f t="shared" si="551"/>
        <v>79682.399999999689</v>
      </c>
      <c r="T457" s="155">
        <f t="shared" si="552"/>
        <v>79682.399999999689</v>
      </c>
      <c r="W457" s="155">
        <f t="shared" si="553"/>
        <v>79682.399999999689</v>
      </c>
      <c r="Z457" s="155">
        <f t="shared" si="554"/>
        <v>79682.399999999689</v>
      </c>
      <c r="AD457" s="155">
        <f t="shared" si="557"/>
        <v>119523.60000000021</v>
      </c>
      <c r="AG457" s="155">
        <f t="shared" si="558"/>
        <v>119523.60000000021</v>
      </c>
      <c r="AJ457" s="155">
        <f t="shared" si="559"/>
        <v>119523.60000000021</v>
      </c>
      <c r="AM457" s="155">
        <f t="shared" si="560"/>
        <v>119523.60000000021</v>
      </c>
      <c r="AN457" s="41">
        <f t="shared" si="555"/>
        <v>1</v>
      </c>
    </row>
    <row r="458" spans="1:40" x14ac:dyDescent="0.15">
      <c r="A458" s="39" t="s">
        <v>310</v>
      </c>
      <c r="G458" s="155"/>
      <c r="H458" s="155"/>
      <c r="J458" s="155">
        <f t="shared" si="556"/>
        <v>-2447725.8000000003</v>
      </c>
      <c r="M458" s="155">
        <f t="shared" si="549"/>
        <v>-2447725.8000000003</v>
      </c>
      <c r="N458" s="41">
        <f t="shared" si="561"/>
        <v>1</v>
      </c>
      <c r="Q458" s="155">
        <f t="shared" si="551"/>
        <v>-4869895.0700000012</v>
      </c>
      <c r="T458" s="155">
        <f t="shared" si="552"/>
        <v>-4869895.0700000012</v>
      </c>
      <c r="W458" s="155">
        <f t="shared" si="553"/>
        <v>-4869895.0700000012</v>
      </c>
      <c r="Z458" s="155">
        <f t="shared" si="554"/>
        <v>-4869895.0700000012</v>
      </c>
      <c r="AD458" s="155">
        <f t="shared" si="557"/>
        <v>-4636457.6349999998</v>
      </c>
      <c r="AG458" s="155">
        <f t="shared" si="558"/>
        <v>-4636457.6349999998</v>
      </c>
      <c r="AJ458" s="155">
        <f t="shared" si="559"/>
        <v>-4636457.6349999998</v>
      </c>
      <c r="AM458" s="155">
        <f t="shared" si="560"/>
        <v>-4636457.6349999998</v>
      </c>
      <c r="AN458" s="41">
        <f t="shared" si="555"/>
        <v>1</v>
      </c>
    </row>
    <row r="459" spans="1:40" x14ac:dyDescent="0.15">
      <c r="A459" s="39" t="s">
        <v>311</v>
      </c>
      <c r="G459" s="155"/>
      <c r="H459" s="155"/>
      <c r="J459" s="155">
        <f t="shared" si="556"/>
        <v>141123.0399887473</v>
      </c>
      <c r="M459" s="155">
        <f t="shared" si="549"/>
        <v>141123.0399887473</v>
      </c>
      <c r="N459" s="41">
        <f t="shared" si="561"/>
        <v>1</v>
      </c>
      <c r="Q459" s="155">
        <f t="shared" si="551"/>
        <v>314591.37407051562</v>
      </c>
      <c r="T459" s="155">
        <f t="shared" si="552"/>
        <v>314591.37407051562</v>
      </c>
      <c r="W459" s="155">
        <f t="shared" si="553"/>
        <v>314591.37407051562</v>
      </c>
      <c r="Z459" s="155">
        <f t="shared" si="554"/>
        <v>314591.37407051562</v>
      </c>
      <c r="AD459" s="155">
        <f t="shared" si="557"/>
        <v>534513.12708894326</v>
      </c>
      <c r="AG459" s="155">
        <f t="shared" si="558"/>
        <v>534513.12708894326</v>
      </c>
      <c r="AJ459" s="155">
        <f t="shared" si="559"/>
        <v>534513.12708894326</v>
      </c>
      <c r="AM459" s="155">
        <f t="shared" si="560"/>
        <v>534513.12708894326</v>
      </c>
      <c r="AN459" s="41">
        <f t="shared" si="555"/>
        <v>1</v>
      </c>
    </row>
    <row r="460" spans="1:40" x14ac:dyDescent="0.15">
      <c r="A460" s="39" t="s">
        <v>43</v>
      </c>
      <c r="G460" s="155"/>
      <c r="H460" s="155"/>
      <c r="J460" s="155">
        <f>+J257*N460</f>
        <v>0</v>
      </c>
      <c r="M460" s="155">
        <f t="shared" si="549"/>
        <v>0</v>
      </c>
      <c r="N460" s="41">
        <f t="shared" si="561"/>
        <v>0.89759999999999995</v>
      </c>
      <c r="Q460" s="155">
        <f t="shared" si="551"/>
        <v>0</v>
      </c>
      <c r="T460" s="155">
        <f t="shared" si="552"/>
        <v>0</v>
      </c>
      <c r="W460" s="155">
        <f t="shared" si="553"/>
        <v>0</v>
      </c>
      <c r="Z460" s="155">
        <f t="shared" si="554"/>
        <v>0</v>
      </c>
      <c r="AD460" s="155">
        <f t="shared" si="557"/>
        <v>0</v>
      </c>
      <c r="AG460" s="155">
        <f t="shared" si="558"/>
        <v>0</v>
      </c>
      <c r="AJ460" s="155">
        <f t="shared" si="559"/>
        <v>0</v>
      </c>
      <c r="AM460" s="155">
        <f t="shared" si="560"/>
        <v>0</v>
      </c>
      <c r="AN460" s="41">
        <f t="shared" si="555"/>
        <v>0.8</v>
      </c>
    </row>
    <row r="461" spans="1:40" x14ac:dyDescent="0.15">
      <c r="A461" s="39" t="s">
        <v>44</v>
      </c>
      <c r="G461" s="155"/>
      <c r="H461" s="155"/>
      <c r="J461" s="155">
        <f t="shared" si="556"/>
        <v>39934589.757377148</v>
      </c>
      <c r="M461" s="155">
        <f t="shared" si="549"/>
        <v>39934589.757377148</v>
      </c>
      <c r="N461" s="41">
        <f t="shared" si="561"/>
        <v>0.80991373405420919</v>
      </c>
      <c r="Q461" s="155">
        <f t="shared" si="551"/>
        <v>51003762.437869117</v>
      </c>
      <c r="T461" s="155">
        <f t="shared" si="552"/>
        <v>51003762.437869117</v>
      </c>
      <c r="W461" s="155">
        <f t="shared" si="553"/>
        <v>51003762.437869117</v>
      </c>
      <c r="Z461" s="155">
        <f t="shared" si="554"/>
        <v>51003762.437869117</v>
      </c>
      <c r="AD461" s="155">
        <f t="shared" si="557"/>
        <v>56941323.998944499</v>
      </c>
      <c r="AG461" s="155">
        <f t="shared" si="558"/>
        <v>56941323.998944499</v>
      </c>
      <c r="AJ461" s="155">
        <f t="shared" si="559"/>
        <v>56941323.998944499</v>
      </c>
      <c r="AM461" s="155">
        <f t="shared" si="560"/>
        <v>56941323.998944499</v>
      </c>
      <c r="AN461" s="41">
        <f t="shared" si="555"/>
        <v>0.84259373117354164</v>
      </c>
    </row>
    <row r="462" spans="1:40" x14ac:dyDescent="0.15">
      <c r="A462" s="39" t="s">
        <v>625</v>
      </c>
      <c r="G462" s="155"/>
      <c r="H462" s="155"/>
      <c r="J462" s="155">
        <f t="shared" si="556"/>
        <v>520024.53749999998</v>
      </c>
      <c r="M462" s="155">
        <f t="shared" si="549"/>
        <v>520024.53749999998</v>
      </c>
      <c r="N462" s="41">
        <f t="shared" si="561"/>
        <v>1</v>
      </c>
      <c r="Q462" s="155">
        <f t="shared" si="551"/>
        <v>-297232.14750000002</v>
      </c>
      <c r="T462" s="155">
        <f t="shared" si="552"/>
        <v>-297232.14750000002</v>
      </c>
      <c r="W462" s="155">
        <f t="shared" si="553"/>
        <v>-297232.14750000002</v>
      </c>
      <c r="Z462" s="155">
        <f t="shared" si="554"/>
        <v>-297232.14750000002</v>
      </c>
      <c r="AD462" s="155">
        <f t="shared" si="557"/>
        <v>911538.74750000006</v>
      </c>
      <c r="AG462" s="155">
        <f t="shared" si="558"/>
        <v>911538.74750000006</v>
      </c>
      <c r="AJ462" s="155">
        <f t="shared" si="559"/>
        <v>911538.74750000006</v>
      </c>
      <c r="AM462" s="155">
        <f t="shared" si="560"/>
        <v>911538.74750000006</v>
      </c>
      <c r="AN462" s="41">
        <f t="shared" si="555"/>
        <v>1</v>
      </c>
    </row>
    <row r="463" spans="1:40" x14ac:dyDescent="0.15">
      <c r="A463" s="39" t="s">
        <v>47</v>
      </c>
      <c r="G463" s="155"/>
      <c r="H463" s="155"/>
      <c r="J463" s="155">
        <f t="shared" si="556"/>
        <v>2429741.2021626276</v>
      </c>
      <c r="M463" s="155">
        <f t="shared" si="549"/>
        <v>2429741.2021626276</v>
      </c>
      <c r="N463" s="41">
        <f t="shared" si="561"/>
        <v>0.80991373405420919</v>
      </c>
      <c r="Q463" s="155">
        <f t="shared" si="551"/>
        <v>2514700.9574838132</v>
      </c>
      <c r="T463" s="155">
        <f t="shared" si="552"/>
        <v>2514700.9574838132</v>
      </c>
      <c r="W463" s="155">
        <f t="shared" si="553"/>
        <v>2514700.9574838132</v>
      </c>
      <c r="Z463" s="155">
        <f t="shared" si="554"/>
        <v>2514700.9574838132</v>
      </c>
      <c r="AD463" s="155">
        <f t="shared" si="557"/>
        <v>2527781.1935206251</v>
      </c>
      <c r="AG463" s="155">
        <f t="shared" si="558"/>
        <v>2527781.1935206251</v>
      </c>
      <c r="AJ463" s="155">
        <f t="shared" si="559"/>
        <v>2527781.1935206251</v>
      </c>
      <c r="AM463" s="155">
        <f t="shared" si="560"/>
        <v>2527781.1935206251</v>
      </c>
      <c r="AN463" s="41">
        <f t="shared" si="555"/>
        <v>0.84259373117354164</v>
      </c>
    </row>
    <row r="464" spans="1:40" x14ac:dyDescent="0.15">
      <c r="A464" s="39" t="s">
        <v>51</v>
      </c>
      <c r="G464" s="155"/>
      <c r="H464" s="155"/>
      <c r="J464" s="155">
        <f t="shared" si="556"/>
        <v>-7060375.0722449832</v>
      </c>
      <c r="M464" s="155">
        <f t="shared" si="549"/>
        <v>-7060375.0722449832</v>
      </c>
      <c r="N464" s="41">
        <f>VLOOKUP(A464,$A$282:$N$320,14,FALSE)</f>
        <v>0.80991373405420919</v>
      </c>
      <c r="Q464" s="155">
        <f t="shared" si="551"/>
        <v>-7978001.5593818361</v>
      </c>
      <c r="T464" s="155">
        <f t="shared" si="552"/>
        <v>-7978001.5593818361</v>
      </c>
      <c r="W464" s="155">
        <f t="shared" si="553"/>
        <v>-7978001.5593818361</v>
      </c>
      <c r="Z464" s="155">
        <f t="shared" si="554"/>
        <v>-7978001.5593818361</v>
      </c>
      <c r="AD464" s="155">
        <f t="shared" si="557"/>
        <v>-5339615.1063624201</v>
      </c>
      <c r="AG464" s="155">
        <f t="shared" si="558"/>
        <v>-5339615.1063624201</v>
      </c>
      <c r="AJ464" s="155">
        <f t="shared" si="559"/>
        <v>-5339615.1063624201</v>
      </c>
      <c r="AM464" s="155">
        <f t="shared" si="560"/>
        <v>-5339615.1063624201</v>
      </c>
      <c r="AN464" s="41">
        <f t="shared" si="555"/>
        <v>0.84259373117354164</v>
      </c>
    </row>
    <row r="465" spans="1:40" x14ac:dyDescent="0.15">
      <c r="A465" s="39" t="s">
        <v>66</v>
      </c>
      <c r="G465" s="155"/>
      <c r="H465" s="155"/>
      <c r="J465" s="155">
        <f t="shared" si="556"/>
        <v>2136870.5113658272</v>
      </c>
      <c r="M465" s="155">
        <f t="shared" si="549"/>
        <v>2136870.5113658272</v>
      </c>
      <c r="N465" s="41">
        <f>VLOOKUP(A465,$A$282:$N$320,14,FALSE)</f>
        <v>0.80991373405420919</v>
      </c>
      <c r="Q465" s="155">
        <f t="shared" si="551"/>
        <v>1859446.7635531868</v>
      </c>
      <c r="T465" s="155">
        <f t="shared" si="552"/>
        <v>1859446.7635531868</v>
      </c>
      <c r="W465" s="155">
        <f t="shared" si="553"/>
        <v>1859446.7635531868</v>
      </c>
      <c r="Z465" s="155">
        <f t="shared" si="554"/>
        <v>1859446.7635531868</v>
      </c>
      <c r="AD465" s="155">
        <f t="shared" si="557"/>
        <v>1358371.3091158366</v>
      </c>
      <c r="AG465" s="155">
        <f t="shared" si="558"/>
        <v>1358371.3091158366</v>
      </c>
      <c r="AJ465" s="155">
        <f t="shared" si="559"/>
        <v>1358371.3091158366</v>
      </c>
      <c r="AM465" s="155">
        <f t="shared" si="560"/>
        <v>1358371.3091158366</v>
      </c>
      <c r="AN465" s="41">
        <f t="shared" si="555"/>
        <v>0.84259373117354164</v>
      </c>
    </row>
    <row r="466" spans="1:40" x14ac:dyDescent="0.15">
      <c r="A466" s="39" t="s">
        <v>79</v>
      </c>
      <c r="G466" s="155"/>
      <c r="H466" s="155"/>
      <c r="J466" s="155">
        <f>+J263*N466</f>
        <v>-75231602.507859707</v>
      </c>
      <c r="M466" s="155">
        <f t="shared" si="549"/>
        <v>-75231602.507859707</v>
      </c>
      <c r="N466" s="41">
        <f>VLOOKUP(A466,$A$282:$N$320,14,FALSE)</f>
        <v>0.82035907294860588</v>
      </c>
      <c r="Q466" s="155">
        <f t="shared" si="551"/>
        <v>-80360009.444552645</v>
      </c>
      <c r="T466" s="155">
        <f t="shared" si="552"/>
        <v>-80360009.444552645</v>
      </c>
      <c r="W466" s="155">
        <f t="shared" si="553"/>
        <v>-80360009.444552645</v>
      </c>
      <c r="Z466" s="155">
        <f t="shared" si="554"/>
        <v>-80360009.444552645</v>
      </c>
      <c r="AD466" s="155">
        <f t="shared" si="557"/>
        <v>-78414603.831371933</v>
      </c>
      <c r="AG466" s="155">
        <f t="shared" si="558"/>
        <v>-78414603.831371933</v>
      </c>
      <c r="AJ466" s="155">
        <f t="shared" si="559"/>
        <v>-78414603.831371933</v>
      </c>
      <c r="AM466" s="155">
        <f t="shared" si="560"/>
        <v>-78414603.831371933</v>
      </c>
      <c r="AN466" s="41">
        <f t="shared" si="555"/>
        <v>0.80524402405921069</v>
      </c>
    </row>
    <row r="467" spans="1:40" ht="9" thickBot="1" x14ac:dyDescent="0.2">
      <c r="G467" s="155"/>
      <c r="H467" s="155"/>
      <c r="J467" s="181">
        <f>SUM(J429:J466)</f>
        <v>-40348627.234698392</v>
      </c>
      <c r="M467" s="181">
        <f>SUM(M429:M466)</f>
        <v>-40348627.234698392</v>
      </c>
      <c r="Q467" s="181">
        <f>SUM(Q429:Q466)</f>
        <v>-47505444.727024533</v>
      </c>
      <c r="T467" s="181">
        <f>SUM(T429:T466)</f>
        <v>-47505444.727024533</v>
      </c>
      <c r="W467" s="181">
        <f>SUM(W429:W466)</f>
        <v>-47505444.727024533</v>
      </c>
      <c r="Z467" s="181">
        <f>SUM(Z429:Z466)</f>
        <v>-47505444.727024533</v>
      </c>
      <c r="AA467" s="41"/>
      <c r="AD467" s="181">
        <f>SUM(AD429:AD466)</f>
        <v>-30955280.113773085</v>
      </c>
      <c r="AG467" s="181">
        <f>SUM(AG429:AG466)</f>
        <v>-30955280.113773085</v>
      </c>
      <c r="AJ467" s="181">
        <f>SUM(AJ429:AJ466)</f>
        <v>-30955280.113773085</v>
      </c>
      <c r="AM467" s="181">
        <f>SUM(AM429:AM466)</f>
        <v>-30955280.113773085</v>
      </c>
      <c r="AN467" s="41"/>
    </row>
    <row r="468" spans="1:40" x14ac:dyDescent="0.15">
      <c r="G468" s="155"/>
      <c r="H468" s="155"/>
    </row>
    <row r="469" spans="1:40" x14ac:dyDescent="0.15">
      <c r="G469" s="155"/>
      <c r="H469" s="155"/>
    </row>
    <row r="470" spans="1:40" x14ac:dyDescent="0.15">
      <c r="G470" s="155"/>
      <c r="H470" s="155"/>
    </row>
    <row r="471" spans="1:40" x14ac:dyDescent="0.15">
      <c r="G471" s="155"/>
      <c r="H471" s="155"/>
    </row>
    <row r="472" spans="1:40" x14ac:dyDescent="0.15">
      <c r="G472" s="155"/>
      <c r="H472" s="155"/>
    </row>
    <row r="473" spans="1:40" x14ac:dyDescent="0.15">
      <c r="G473" s="155"/>
      <c r="H473" s="155"/>
    </row>
    <row r="474" spans="1:40" x14ac:dyDescent="0.15">
      <c r="G474" s="155"/>
      <c r="H474" s="155"/>
    </row>
    <row r="475" spans="1:40" x14ac:dyDescent="0.15">
      <c r="G475" s="155"/>
      <c r="H475" s="155"/>
    </row>
    <row r="476" spans="1:40" x14ac:dyDescent="0.15">
      <c r="G476" s="155"/>
      <c r="H476" s="155"/>
    </row>
    <row r="477" spans="1:40" x14ac:dyDescent="0.15">
      <c r="G477" s="155"/>
      <c r="H477" s="155"/>
      <c r="AA477" s="41">
        <f t="shared" ref="AA477:AA501" si="562">VLOOKUP(A387,$A$282:$AA$320,27,FALSE)</f>
        <v>1</v>
      </c>
    </row>
    <row r="478" spans="1:40" x14ac:dyDescent="0.15">
      <c r="G478" s="155"/>
      <c r="H478" s="155"/>
      <c r="AA478" s="41">
        <f t="shared" si="562"/>
        <v>0</v>
      </c>
    </row>
    <row r="479" spans="1:40" x14ac:dyDescent="0.15">
      <c r="G479" s="155"/>
      <c r="H479" s="155"/>
      <c r="AA479" s="41">
        <f t="shared" si="562"/>
        <v>1</v>
      </c>
    </row>
    <row r="480" spans="1:40" x14ac:dyDescent="0.15">
      <c r="G480" s="155"/>
      <c r="H480" s="155"/>
      <c r="AA480" s="41">
        <f t="shared" si="562"/>
        <v>0</v>
      </c>
    </row>
    <row r="481" spans="7:27" x14ac:dyDescent="0.15">
      <c r="G481" s="155"/>
      <c r="H481" s="155"/>
      <c r="AA481" s="41">
        <f t="shared" si="562"/>
        <v>1</v>
      </c>
    </row>
    <row r="482" spans="7:27" x14ac:dyDescent="0.15">
      <c r="G482" s="155"/>
      <c r="H482" s="155"/>
      <c r="AA482" s="41">
        <f t="shared" si="562"/>
        <v>1</v>
      </c>
    </row>
    <row r="483" spans="7:27" x14ac:dyDescent="0.15">
      <c r="G483" s="155"/>
      <c r="H483" s="155"/>
      <c r="AA483" s="41">
        <f t="shared" si="562"/>
        <v>0.8216</v>
      </c>
    </row>
    <row r="484" spans="7:27" x14ac:dyDescent="0.15">
      <c r="G484" s="155"/>
      <c r="H484" s="155"/>
      <c r="AA484" s="41">
        <f t="shared" si="562"/>
        <v>0.8216</v>
      </c>
    </row>
    <row r="485" spans="7:27" x14ac:dyDescent="0.15">
      <c r="G485" s="155"/>
      <c r="H485" s="155"/>
      <c r="AA485" s="41">
        <f t="shared" si="562"/>
        <v>1</v>
      </c>
    </row>
    <row r="486" spans="7:27" x14ac:dyDescent="0.15">
      <c r="G486" s="155"/>
      <c r="H486" s="155"/>
      <c r="AA486" s="41">
        <f t="shared" si="562"/>
        <v>1</v>
      </c>
    </row>
    <row r="487" spans="7:27" x14ac:dyDescent="0.15">
      <c r="G487" s="155"/>
      <c r="H487" s="155"/>
      <c r="AA487" s="41">
        <f t="shared" si="562"/>
        <v>1</v>
      </c>
    </row>
    <row r="488" spans="7:27" x14ac:dyDescent="0.15">
      <c r="G488" s="155"/>
      <c r="H488" s="155"/>
      <c r="AA488" s="41">
        <f t="shared" si="562"/>
        <v>1</v>
      </c>
    </row>
    <row r="489" spans="7:27" x14ac:dyDescent="0.15">
      <c r="G489" s="155"/>
      <c r="H489" s="155"/>
      <c r="AA489" s="41">
        <f t="shared" si="562"/>
        <v>1</v>
      </c>
    </row>
    <row r="490" spans="7:27" x14ac:dyDescent="0.15">
      <c r="G490" s="155"/>
      <c r="H490" s="155"/>
      <c r="AA490" s="41">
        <f t="shared" si="562"/>
        <v>1</v>
      </c>
    </row>
    <row r="491" spans="7:27" x14ac:dyDescent="0.15">
      <c r="G491" s="155"/>
      <c r="H491" s="155"/>
      <c r="AA491" s="41">
        <f t="shared" si="562"/>
        <v>0.11</v>
      </c>
    </row>
    <row r="492" spans="7:27" x14ac:dyDescent="0.15">
      <c r="G492" s="155"/>
      <c r="H492" s="155"/>
      <c r="AA492" s="41">
        <f t="shared" si="562"/>
        <v>0.8216</v>
      </c>
    </row>
    <row r="493" spans="7:27" x14ac:dyDescent="0.15">
      <c r="G493" s="155"/>
      <c r="H493" s="155"/>
      <c r="AA493" s="41">
        <f t="shared" si="562"/>
        <v>0.8216</v>
      </c>
    </row>
    <row r="494" spans="7:27" x14ac:dyDescent="0.15">
      <c r="G494" s="155"/>
      <c r="H494" s="155"/>
      <c r="AA494" s="41">
        <f t="shared" si="562"/>
        <v>0.8216</v>
      </c>
    </row>
    <row r="495" spans="7:27" x14ac:dyDescent="0.15">
      <c r="G495" s="155"/>
      <c r="H495" s="155"/>
      <c r="AA495" s="41">
        <f t="shared" si="562"/>
        <v>1</v>
      </c>
    </row>
    <row r="496" spans="7:27" x14ac:dyDescent="0.15">
      <c r="G496" s="155"/>
      <c r="H496" s="155"/>
      <c r="AA496" s="41">
        <f t="shared" si="562"/>
        <v>0.8216</v>
      </c>
    </row>
    <row r="497" spans="7:27" x14ac:dyDescent="0.15">
      <c r="G497" s="155"/>
      <c r="H497" s="155"/>
      <c r="AA497" s="41">
        <f t="shared" si="562"/>
        <v>0.8216</v>
      </c>
    </row>
    <row r="498" spans="7:27" x14ac:dyDescent="0.15">
      <c r="G498" s="155"/>
      <c r="H498" s="155"/>
      <c r="AA498" s="41">
        <f t="shared" si="562"/>
        <v>0.8216</v>
      </c>
    </row>
    <row r="499" spans="7:27" x14ac:dyDescent="0.15">
      <c r="G499" s="155"/>
      <c r="H499" s="155"/>
      <c r="AA499" s="41">
        <f t="shared" si="562"/>
        <v>0.99525675162766813</v>
      </c>
    </row>
    <row r="500" spans="7:27" x14ac:dyDescent="0.15">
      <c r="G500" s="155"/>
      <c r="H500" s="155"/>
      <c r="AA500" s="41">
        <f t="shared" si="562"/>
        <v>0.83823365249460446</v>
      </c>
    </row>
    <row r="501" spans="7:27" x14ac:dyDescent="0.15">
      <c r="G501" s="155"/>
      <c r="H501" s="155"/>
      <c r="AA501" s="41">
        <f t="shared" si="562"/>
        <v>1</v>
      </c>
    </row>
    <row r="502" spans="7:27" x14ac:dyDescent="0.15">
      <c r="G502" s="155"/>
      <c r="H502" s="155"/>
      <c r="AA502" s="41">
        <v>0</v>
      </c>
    </row>
    <row r="503" spans="7:27" x14ac:dyDescent="0.15">
      <c r="G503" s="155"/>
      <c r="H503" s="155"/>
      <c r="AA503" s="41">
        <f t="shared" ref="AA503:AA515" si="563">VLOOKUP(A413,$A$282:$AA$320,27,FALSE)</f>
        <v>1</v>
      </c>
    </row>
    <row r="504" spans="7:27" x14ac:dyDescent="0.15">
      <c r="G504" s="155"/>
      <c r="H504" s="155"/>
      <c r="AA504" s="41">
        <f t="shared" si="563"/>
        <v>1</v>
      </c>
    </row>
    <row r="505" spans="7:27" x14ac:dyDescent="0.15">
      <c r="G505" s="155"/>
      <c r="H505" s="155"/>
      <c r="AA505" s="41">
        <f t="shared" si="563"/>
        <v>1</v>
      </c>
    </row>
    <row r="506" spans="7:27" x14ac:dyDescent="0.15">
      <c r="G506" s="155"/>
      <c r="H506" s="155"/>
      <c r="AA506" s="41">
        <f t="shared" si="563"/>
        <v>1</v>
      </c>
    </row>
    <row r="507" spans="7:27" x14ac:dyDescent="0.15">
      <c r="G507" s="155"/>
      <c r="H507" s="155"/>
      <c r="AA507" s="41">
        <f t="shared" si="563"/>
        <v>1</v>
      </c>
    </row>
    <row r="508" spans="7:27" x14ac:dyDescent="0.15">
      <c r="G508" s="155"/>
      <c r="H508" s="155"/>
      <c r="AA508" s="41">
        <f t="shared" si="563"/>
        <v>0.97609999999999997</v>
      </c>
    </row>
    <row r="509" spans="7:27" x14ac:dyDescent="0.15">
      <c r="G509" s="155"/>
      <c r="H509" s="155"/>
      <c r="AA509" s="41">
        <f t="shared" si="563"/>
        <v>0.83823365249460446</v>
      </c>
    </row>
    <row r="510" spans="7:27" x14ac:dyDescent="0.15">
      <c r="G510" s="155"/>
      <c r="H510" s="155"/>
      <c r="AA510" s="41">
        <f t="shared" si="563"/>
        <v>1</v>
      </c>
    </row>
    <row r="511" spans="7:27" x14ac:dyDescent="0.15">
      <c r="G511" s="155"/>
      <c r="H511" s="155"/>
      <c r="AA511" s="41">
        <f t="shared" si="563"/>
        <v>0.83823365249460446</v>
      </c>
    </row>
    <row r="512" spans="7:27" x14ac:dyDescent="0.15">
      <c r="G512" s="155"/>
      <c r="H512" s="155"/>
      <c r="AA512" s="41">
        <f t="shared" si="563"/>
        <v>0.83823365249460446</v>
      </c>
    </row>
    <row r="513" spans="7:27" x14ac:dyDescent="0.15">
      <c r="G513" s="155"/>
      <c r="H513" s="155"/>
      <c r="AA513" s="41">
        <f t="shared" si="563"/>
        <v>0.83823365249460446</v>
      </c>
    </row>
    <row r="514" spans="7:27" x14ac:dyDescent="0.15">
      <c r="G514" s="155"/>
      <c r="H514" s="155"/>
      <c r="AA514" s="41">
        <f t="shared" si="563"/>
        <v>0.7938318204935948</v>
      </c>
    </row>
    <row r="515" spans="7:27" x14ac:dyDescent="0.15">
      <c r="G515" s="155"/>
      <c r="H515" s="155"/>
      <c r="AA515" s="41">
        <f t="shared" si="563"/>
        <v>0.86846780255018952</v>
      </c>
    </row>
    <row r="516" spans="7:27" x14ac:dyDescent="0.15">
      <c r="G516" s="155"/>
      <c r="H516" s="155"/>
    </row>
    <row r="517" spans="7:27" x14ac:dyDescent="0.15">
      <c r="G517" s="155"/>
      <c r="H517" s="155"/>
    </row>
    <row r="518" spans="7:27" x14ac:dyDescent="0.15">
      <c r="G518" s="155"/>
      <c r="H518" s="155"/>
    </row>
    <row r="519" spans="7:27" x14ac:dyDescent="0.15">
      <c r="G519" s="155"/>
      <c r="H519" s="155"/>
    </row>
    <row r="520" spans="7:27" x14ac:dyDescent="0.15">
      <c r="G520" s="155"/>
      <c r="H520" s="155"/>
    </row>
    <row r="521" spans="7:27" x14ac:dyDescent="0.15">
      <c r="G521" s="155"/>
      <c r="H521" s="155"/>
      <c r="AA521" s="41">
        <f t="shared" ref="AA521:AA545" si="564">VLOOKUP(A429,$A$282:$AA$320,27,FALSE)</f>
        <v>1</v>
      </c>
    </row>
    <row r="522" spans="7:27" x14ac:dyDescent="0.15">
      <c r="G522" s="155"/>
      <c r="H522" s="155"/>
      <c r="AA522" s="41">
        <f t="shared" si="564"/>
        <v>0</v>
      </c>
    </row>
    <row r="523" spans="7:27" x14ac:dyDescent="0.15">
      <c r="G523" s="155"/>
      <c r="H523" s="155"/>
      <c r="AA523" s="41">
        <f t="shared" si="564"/>
        <v>1</v>
      </c>
    </row>
    <row r="524" spans="7:27" x14ac:dyDescent="0.15">
      <c r="G524" s="155"/>
      <c r="H524" s="155"/>
      <c r="AA524" s="41">
        <f t="shared" si="564"/>
        <v>0</v>
      </c>
    </row>
    <row r="525" spans="7:27" x14ac:dyDescent="0.15">
      <c r="G525" s="155"/>
      <c r="H525" s="155"/>
      <c r="AA525" s="41">
        <f t="shared" si="564"/>
        <v>1</v>
      </c>
    </row>
    <row r="526" spans="7:27" x14ac:dyDescent="0.15">
      <c r="G526" s="155"/>
      <c r="H526" s="155"/>
      <c r="AA526" s="41">
        <f t="shared" si="564"/>
        <v>1</v>
      </c>
    </row>
    <row r="527" spans="7:27" x14ac:dyDescent="0.15">
      <c r="G527" s="155"/>
      <c r="H527" s="155"/>
      <c r="AA527" s="41">
        <f t="shared" si="564"/>
        <v>0.8216</v>
      </c>
    </row>
    <row r="528" spans="7:27" x14ac:dyDescent="0.15">
      <c r="G528" s="155"/>
      <c r="H528" s="155"/>
      <c r="AA528" s="41">
        <f t="shared" si="564"/>
        <v>0.8216</v>
      </c>
    </row>
    <row r="529" spans="7:27" x14ac:dyDescent="0.15">
      <c r="G529" s="155"/>
      <c r="H529" s="155"/>
      <c r="AA529" s="41">
        <f t="shared" si="564"/>
        <v>1</v>
      </c>
    </row>
    <row r="530" spans="7:27" x14ac:dyDescent="0.15">
      <c r="G530" s="155"/>
      <c r="H530" s="155"/>
      <c r="AA530" s="41">
        <f t="shared" si="564"/>
        <v>1</v>
      </c>
    </row>
    <row r="531" spans="7:27" x14ac:dyDescent="0.15">
      <c r="G531" s="155"/>
      <c r="H531" s="155"/>
      <c r="AA531" s="41">
        <f t="shared" si="564"/>
        <v>1</v>
      </c>
    </row>
    <row r="532" spans="7:27" x14ac:dyDescent="0.15">
      <c r="G532" s="155"/>
      <c r="H532" s="155"/>
      <c r="AA532" s="41">
        <f t="shared" si="564"/>
        <v>1</v>
      </c>
    </row>
    <row r="533" spans="7:27" x14ac:dyDescent="0.15">
      <c r="G533" s="155"/>
      <c r="H533" s="155"/>
      <c r="AA533" s="41">
        <f t="shared" si="564"/>
        <v>1</v>
      </c>
    </row>
    <row r="534" spans="7:27" x14ac:dyDescent="0.15">
      <c r="G534" s="155"/>
      <c r="H534" s="155"/>
      <c r="AA534" s="41">
        <f t="shared" si="564"/>
        <v>1</v>
      </c>
    </row>
    <row r="535" spans="7:27" x14ac:dyDescent="0.15">
      <c r="G535" s="155"/>
      <c r="H535" s="155"/>
      <c r="AA535" s="41">
        <f t="shared" si="564"/>
        <v>0.11</v>
      </c>
    </row>
    <row r="536" spans="7:27" x14ac:dyDescent="0.15">
      <c r="G536" s="155"/>
      <c r="H536" s="155"/>
      <c r="AA536" s="41">
        <f t="shared" si="564"/>
        <v>0.8216</v>
      </c>
    </row>
    <row r="537" spans="7:27" x14ac:dyDescent="0.15">
      <c r="G537" s="155"/>
      <c r="H537" s="155"/>
      <c r="AA537" s="41">
        <f t="shared" si="564"/>
        <v>0.8216</v>
      </c>
    </row>
    <row r="538" spans="7:27" x14ac:dyDescent="0.15">
      <c r="G538" s="155"/>
      <c r="H538" s="155"/>
      <c r="AA538" s="41">
        <f t="shared" si="564"/>
        <v>0.8216</v>
      </c>
    </row>
    <row r="539" spans="7:27" x14ac:dyDescent="0.15">
      <c r="G539" s="155"/>
      <c r="H539" s="155"/>
      <c r="AA539" s="41">
        <f t="shared" si="564"/>
        <v>1</v>
      </c>
    </row>
    <row r="540" spans="7:27" x14ac:dyDescent="0.15">
      <c r="G540" s="155"/>
      <c r="H540" s="155"/>
      <c r="AA540" s="41">
        <f t="shared" si="564"/>
        <v>0.8216</v>
      </c>
    </row>
    <row r="541" spans="7:27" x14ac:dyDescent="0.15">
      <c r="G541" s="155"/>
      <c r="H541" s="155"/>
      <c r="AA541" s="41">
        <f t="shared" si="564"/>
        <v>0.8216</v>
      </c>
    </row>
    <row r="542" spans="7:27" x14ac:dyDescent="0.15">
      <c r="G542" s="155"/>
      <c r="H542" s="155"/>
      <c r="AA542" s="41">
        <f t="shared" si="564"/>
        <v>0.8216</v>
      </c>
    </row>
    <row r="543" spans="7:27" x14ac:dyDescent="0.15">
      <c r="G543" s="155"/>
      <c r="H543" s="155"/>
      <c r="AA543" s="41">
        <f t="shared" si="564"/>
        <v>0.99525675162766813</v>
      </c>
    </row>
    <row r="544" spans="7:27" x14ac:dyDescent="0.15">
      <c r="G544" s="155"/>
      <c r="H544" s="155"/>
      <c r="AA544" s="41">
        <f t="shared" si="564"/>
        <v>0.83823365249460446</v>
      </c>
    </row>
    <row r="545" spans="7:27" x14ac:dyDescent="0.15">
      <c r="G545" s="155"/>
      <c r="H545" s="155"/>
      <c r="AA545" s="41">
        <f t="shared" si="564"/>
        <v>1</v>
      </c>
    </row>
    <row r="546" spans="7:27" x14ac:dyDescent="0.15">
      <c r="G546" s="155"/>
      <c r="H546" s="155"/>
      <c r="AA546" s="41">
        <v>0</v>
      </c>
    </row>
    <row r="547" spans="7:27" x14ac:dyDescent="0.15">
      <c r="G547" s="155"/>
      <c r="H547" s="155"/>
      <c r="AA547" s="41">
        <f t="shared" ref="AA547:AA558" si="565">VLOOKUP(A455,$A$282:$AA$320,27,FALSE)</f>
        <v>1</v>
      </c>
    </row>
    <row r="548" spans="7:27" x14ac:dyDescent="0.15">
      <c r="G548" s="155"/>
      <c r="H548" s="155"/>
      <c r="AA548" s="41">
        <f t="shared" si="565"/>
        <v>1</v>
      </c>
    </row>
    <row r="549" spans="7:27" x14ac:dyDescent="0.15">
      <c r="G549" s="155"/>
      <c r="H549" s="155"/>
      <c r="AA549" s="41">
        <f t="shared" si="565"/>
        <v>1</v>
      </c>
    </row>
    <row r="550" spans="7:27" x14ac:dyDescent="0.15">
      <c r="G550" s="155"/>
      <c r="H550" s="155"/>
      <c r="AA550" s="41">
        <f t="shared" si="565"/>
        <v>1</v>
      </c>
    </row>
    <row r="551" spans="7:27" x14ac:dyDescent="0.15">
      <c r="G551" s="155"/>
      <c r="H551" s="155"/>
      <c r="AA551" s="41">
        <f t="shared" si="565"/>
        <v>1</v>
      </c>
    </row>
    <row r="552" spans="7:27" x14ac:dyDescent="0.15">
      <c r="G552" s="155"/>
      <c r="H552" s="155"/>
      <c r="AA552" s="41">
        <f t="shared" si="565"/>
        <v>0.97609999999999997</v>
      </c>
    </row>
    <row r="553" spans="7:27" x14ac:dyDescent="0.15">
      <c r="G553" s="155"/>
      <c r="H553" s="155"/>
      <c r="AA553" s="41">
        <f t="shared" si="565"/>
        <v>0.83823365249460446</v>
      </c>
    </row>
    <row r="554" spans="7:27" x14ac:dyDescent="0.15">
      <c r="G554" s="155"/>
      <c r="H554" s="155"/>
      <c r="AA554" s="41">
        <f t="shared" si="565"/>
        <v>1</v>
      </c>
    </row>
    <row r="555" spans="7:27" x14ac:dyDescent="0.15">
      <c r="G555" s="155"/>
      <c r="H555" s="155"/>
      <c r="AA555" s="41">
        <f t="shared" si="565"/>
        <v>0.83823365249460446</v>
      </c>
    </row>
    <row r="556" spans="7:27" x14ac:dyDescent="0.15">
      <c r="G556" s="155"/>
      <c r="H556" s="155"/>
      <c r="AA556" s="41">
        <f t="shared" si="565"/>
        <v>0.83823365249460446</v>
      </c>
    </row>
    <row r="557" spans="7:27" x14ac:dyDescent="0.15">
      <c r="G557" s="155"/>
      <c r="H557" s="155"/>
      <c r="AA557" s="41">
        <f t="shared" si="565"/>
        <v>0.83823365249460446</v>
      </c>
    </row>
    <row r="558" spans="7:27" x14ac:dyDescent="0.15">
      <c r="G558" s="155"/>
      <c r="H558" s="155"/>
      <c r="AA558" s="41">
        <f t="shared" si="565"/>
        <v>0.81666562049606684</v>
      </c>
    </row>
    <row r="559" spans="7:27" x14ac:dyDescent="0.15">
      <c r="G559" s="155"/>
      <c r="H559" s="155"/>
    </row>
    <row r="560" spans="7:27" x14ac:dyDescent="0.15">
      <c r="G560" s="155"/>
      <c r="H560" s="155"/>
    </row>
    <row r="561" spans="7:8" x14ac:dyDescent="0.15">
      <c r="G561" s="155"/>
      <c r="H561" s="155"/>
    </row>
    <row r="562" spans="7:8" x14ac:dyDescent="0.15">
      <c r="G562" s="155"/>
      <c r="H562" s="155"/>
    </row>
    <row r="563" spans="7:8" x14ac:dyDescent="0.15">
      <c r="G563" s="155"/>
      <c r="H563" s="155"/>
    </row>
    <row r="564" spans="7:8" x14ac:dyDescent="0.15">
      <c r="G564" s="155"/>
      <c r="H564" s="155"/>
    </row>
    <row r="565" spans="7:8" x14ac:dyDescent="0.15">
      <c r="G565" s="155"/>
      <c r="H565" s="155"/>
    </row>
    <row r="566" spans="7:8" x14ac:dyDescent="0.15">
      <c r="G566" s="155"/>
      <c r="H566" s="155"/>
    </row>
    <row r="567" spans="7:8" x14ac:dyDescent="0.15">
      <c r="G567" s="155"/>
      <c r="H567" s="155"/>
    </row>
    <row r="568" spans="7:8" x14ac:dyDescent="0.15">
      <c r="G568" s="155"/>
      <c r="H568" s="155"/>
    </row>
    <row r="569" spans="7:8" x14ac:dyDescent="0.15">
      <c r="G569" s="155"/>
      <c r="H569" s="155"/>
    </row>
    <row r="570" spans="7:8" x14ac:dyDescent="0.15">
      <c r="G570" s="155"/>
      <c r="H570" s="155"/>
    </row>
    <row r="571" spans="7:8" x14ac:dyDescent="0.15">
      <c r="G571" s="155"/>
      <c r="H571" s="155"/>
    </row>
    <row r="572" spans="7:8" x14ac:dyDescent="0.15">
      <c r="G572" s="155"/>
      <c r="H572" s="155"/>
    </row>
    <row r="573" spans="7:8" x14ac:dyDescent="0.15">
      <c r="G573" s="155"/>
      <c r="H573" s="155"/>
    </row>
    <row r="574" spans="7:8" x14ac:dyDescent="0.15">
      <c r="G574" s="155"/>
      <c r="H574" s="155"/>
    </row>
    <row r="575" spans="7:8" x14ac:dyDescent="0.15">
      <c r="G575" s="155"/>
      <c r="H575" s="155"/>
    </row>
    <row r="576" spans="7:8" x14ac:dyDescent="0.15">
      <c r="G576" s="155"/>
      <c r="H576" s="155"/>
    </row>
    <row r="577" spans="7:8" x14ac:dyDescent="0.15">
      <c r="G577" s="155"/>
      <c r="H577" s="155"/>
    </row>
    <row r="578" spans="7:8" x14ac:dyDescent="0.15">
      <c r="G578" s="155"/>
      <c r="H578" s="155"/>
    </row>
    <row r="579" spans="7:8" x14ac:dyDescent="0.15">
      <c r="G579" s="155"/>
      <c r="H579" s="155"/>
    </row>
    <row r="580" spans="7:8" x14ac:dyDescent="0.15">
      <c r="G580" s="155"/>
      <c r="H580" s="155"/>
    </row>
    <row r="581" spans="7:8" x14ac:dyDescent="0.15">
      <c r="G581" s="155"/>
      <c r="H581" s="155"/>
    </row>
    <row r="582" spans="7:8" x14ac:dyDescent="0.15">
      <c r="G582" s="155"/>
      <c r="H582" s="155"/>
    </row>
    <row r="583" spans="7:8" x14ac:dyDescent="0.15">
      <c r="G583" s="155"/>
      <c r="H583" s="155"/>
    </row>
    <row r="584" spans="7:8" x14ac:dyDescent="0.15">
      <c r="G584" s="155"/>
      <c r="H584" s="155"/>
    </row>
    <row r="585" spans="7:8" x14ac:dyDescent="0.15">
      <c r="G585" s="155"/>
      <c r="H585" s="155"/>
    </row>
    <row r="586" spans="7:8" x14ac:dyDescent="0.15">
      <c r="G586" s="155"/>
      <c r="H586" s="155"/>
    </row>
    <row r="587" spans="7:8" x14ac:dyDescent="0.15">
      <c r="G587" s="155"/>
      <c r="H587" s="155"/>
    </row>
    <row r="588" spans="7:8" x14ac:dyDescent="0.15">
      <c r="G588" s="155"/>
      <c r="H588" s="155"/>
    </row>
    <row r="589" spans="7:8" x14ac:dyDescent="0.15">
      <c r="G589" s="155"/>
      <c r="H589" s="155"/>
    </row>
    <row r="590" spans="7:8" x14ac:dyDescent="0.15">
      <c r="G590" s="155"/>
      <c r="H590" s="155"/>
    </row>
    <row r="591" spans="7:8" x14ac:dyDescent="0.15">
      <c r="G591" s="155"/>
      <c r="H591" s="155"/>
    </row>
    <row r="592" spans="7:8" x14ac:dyDescent="0.15">
      <c r="G592" s="155"/>
      <c r="H592" s="155"/>
    </row>
    <row r="593" spans="7:8" x14ac:dyDescent="0.15">
      <c r="G593" s="155"/>
      <c r="H593" s="155"/>
    </row>
    <row r="594" spans="7:8" x14ac:dyDescent="0.15">
      <c r="G594" s="155"/>
      <c r="H594" s="155"/>
    </row>
    <row r="595" spans="7:8" x14ac:dyDescent="0.15">
      <c r="G595" s="155"/>
      <c r="H595" s="155"/>
    </row>
    <row r="596" spans="7:8" x14ac:dyDescent="0.15">
      <c r="G596" s="155"/>
      <c r="H596" s="155"/>
    </row>
    <row r="597" spans="7:8" x14ac:dyDescent="0.15">
      <c r="G597" s="155"/>
      <c r="H597" s="155"/>
    </row>
    <row r="598" spans="7:8" x14ac:dyDescent="0.15">
      <c r="G598" s="155"/>
      <c r="H598" s="155"/>
    </row>
    <row r="599" spans="7:8" x14ac:dyDescent="0.15">
      <c r="G599" s="155"/>
      <c r="H599" s="155"/>
    </row>
    <row r="600" spans="7:8" x14ac:dyDescent="0.15">
      <c r="G600" s="155"/>
      <c r="H600" s="155"/>
    </row>
    <row r="601" spans="7:8" x14ac:dyDescent="0.15">
      <c r="G601" s="155"/>
      <c r="H601" s="155"/>
    </row>
    <row r="602" spans="7:8" x14ac:dyDescent="0.15">
      <c r="G602" s="155"/>
      <c r="H602" s="155"/>
    </row>
    <row r="603" spans="7:8" x14ac:dyDescent="0.15">
      <c r="G603" s="155"/>
      <c r="H603" s="155"/>
    </row>
    <row r="604" spans="7:8" x14ac:dyDescent="0.15">
      <c r="G604" s="155"/>
      <c r="H604" s="155"/>
    </row>
    <row r="605" spans="7:8" x14ac:dyDescent="0.15">
      <c r="G605" s="155"/>
      <c r="H605" s="155"/>
    </row>
    <row r="606" spans="7:8" x14ac:dyDescent="0.15">
      <c r="G606" s="155"/>
      <c r="H606" s="155"/>
    </row>
    <row r="607" spans="7:8" x14ac:dyDescent="0.15">
      <c r="G607" s="155"/>
      <c r="H607" s="155"/>
    </row>
    <row r="608" spans="7:8" x14ac:dyDescent="0.15">
      <c r="G608" s="155"/>
      <c r="H608" s="155"/>
    </row>
  </sheetData>
  <pageMargins left="0.75" right="0.75" top="1" bottom="1" header="0.5" footer="0.5"/>
  <pageSetup scale="86" fitToWidth="18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3"/>
  <sheetViews>
    <sheetView zoomScale="80" zoomScaleNormal="80" workbookViewId="0">
      <pane xSplit="1" ySplit="2" topLeftCell="B3" activePane="bottomRight" state="frozen"/>
      <selection activeCell="A16" sqref="A16"/>
      <selection pane="topRight" activeCell="A16" sqref="A16"/>
      <selection pane="bottomLeft" activeCell="A16" sqref="A16"/>
      <selection pane="bottomRight" activeCell="D195" sqref="D195"/>
    </sheetView>
  </sheetViews>
  <sheetFormatPr defaultRowHeight="14.4" x14ac:dyDescent="0.3"/>
  <cols>
    <col min="1" max="1" width="72.33203125" bestFit="1" customWidth="1"/>
    <col min="2" max="4" width="16.33203125" customWidth="1"/>
  </cols>
  <sheetData>
    <row r="1" spans="1:4" x14ac:dyDescent="0.3">
      <c r="A1" s="73"/>
      <c r="B1" s="76" t="s">
        <v>1031</v>
      </c>
      <c r="C1" s="76" t="s">
        <v>1032</v>
      </c>
      <c r="D1" s="76" t="s">
        <v>1033</v>
      </c>
    </row>
    <row r="2" spans="1:4" x14ac:dyDescent="0.3">
      <c r="A2" s="73"/>
      <c r="B2" s="72" t="s">
        <v>7</v>
      </c>
      <c r="C2" s="72" t="s">
        <v>20</v>
      </c>
      <c r="D2" s="72" t="s">
        <v>33</v>
      </c>
    </row>
    <row r="3" spans="1:4" x14ac:dyDescent="0.3">
      <c r="A3" s="73"/>
      <c r="B3" s="72"/>
      <c r="C3" s="72"/>
      <c r="D3" s="72"/>
    </row>
    <row r="4" spans="1:4" x14ac:dyDescent="0.3">
      <c r="A4" s="42"/>
      <c r="B4" s="43"/>
      <c r="C4" s="43"/>
      <c r="D4" s="43"/>
    </row>
    <row r="5" spans="1:4" x14ac:dyDescent="0.3">
      <c r="A5" s="71" t="s">
        <v>533</v>
      </c>
      <c r="B5" s="69"/>
      <c r="C5" s="69"/>
      <c r="D5" s="69"/>
    </row>
    <row r="6" spans="1:4" x14ac:dyDescent="0.3">
      <c r="A6" s="71" t="s">
        <v>534</v>
      </c>
      <c r="B6" s="70">
        <v>0</v>
      </c>
      <c r="C6" s="81">
        <v>0</v>
      </c>
      <c r="D6" s="81">
        <v>0</v>
      </c>
    </row>
    <row r="7" spans="1:4" x14ac:dyDescent="0.3">
      <c r="A7" s="71" t="s">
        <v>535</v>
      </c>
      <c r="B7" s="81">
        <v>0</v>
      </c>
      <c r="C7" s="81">
        <v>0</v>
      </c>
      <c r="D7" s="81">
        <v>0</v>
      </c>
    </row>
    <row r="8" spans="1:4" x14ac:dyDescent="0.3">
      <c r="A8" s="71" t="s">
        <v>536</v>
      </c>
      <c r="B8" s="81">
        <v>0</v>
      </c>
      <c r="C8" s="81">
        <v>0</v>
      </c>
      <c r="D8" s="81">
        <v>0</v>
      </c>
    </row>
    <row r="9" spans="1:4" x14ac:dyDescent="0.3">
      <c r="A9" s="71" t="s">
        <v>537</v>
      </c>
      <c r="B9" s="81">
        <v>0</v>
      </c>
      <c r="C9" s="81">
        <v>0</v>
      </c>
      <c r="D9" s="81">
        <v>0</v>
      </c>
    </row>
    <row r="10" spans="1:4" x14ac:dyDescent="0.3">
      <c r="A10" s="71" t="s">
        <v>538</v>
      </c>
      <c r="B10" s="81">
        <v>0</v>
      </c>
      <c r="C10" s="81">
        <v>0</v>
      </c>
      <c r="D10" s="81">
        <v>0</v>
      </c>
    </row>
    <row r="11" spans="1:4" s="33" customFormat="1" x14ac:dyDescent="0.3">
      <c r="A11" s="71" t="s">
        <v>941</v>
      </c>
      <c r="B11" s="81">
        <v>0</v>
      </c>
      <c r="C11" s="81">
        <v>0</v>
      </c>
      <c r="D11" s="81">
        <v>0</v>
      </c>
    </row>
    <row r="12" spans="1:4" s="33" customFormat="1" x14ac:dyDescent="0.3">
      <c r="A12" s="71" t="s">
        <v>539</v>
      </c>
      <c r="B12" s="81">
        <v>0</v>
      </c>
      <c r="C12" s="81">
        <v>0</v>
      </c>
      <c r="D12" s="81">
        <v>0</v>
      </c>
    </row>
    <row r="13" spans="1:4" s="33" customFormat="1" x14ac:dyDescent="0.3">
      <c r="A13" s="71" t="s">
        <v>540</v>
      </c>
      <c r="B13" s="81">
        <v>0</v>
      </c>
      <c r="C13" s="81">
        <v>0</v>
      </c>
      <c r="D13" s="81">
        <v>0</v>
      </c>
    </row>
    <row r="14" spans="1:4" s="33" customFormat="1" x14ac:dyDescent="0.3">
      <c r="A14" s="71" t="s">
        <v>541</v>
      </c>
      <c r="B14" s="81">
        <v>0</v>
      </c>
      <c r="C14" s="81">
        <v>0</v>
      </c>
      <c r="D14" s="81">
        <v>0</v>
      </c>
    </row>
    <row r="15" spans="1:4" s="33" customFormat="1" x14ac:dyDescent="0.3">
      <c r="A15" s="71" t="s">
        <v>542</v>
      </c>
      <c r="B15" s="81">
        <v>0</v>
      </c>
      <c r="C15" s="81">
        <v>0</v>
      </c>
      <c r="D15" s="81">
        <v>0</v>
      </c>
    </row>
    <row r="16" spans="1:4" s="33" customFormat="1" x14ac:dyDescent="0.3">
      <c r="A16" s="71" t="s">
        <v>159</v>
      </c>
      <c r="B16" s="81">
        <v>11.953194351120001</v>
      </c>
      <c r="C16" s="81">
        <v>11.34020466688</v>
      </c>
      <c r="D16" s="81">
        <v>11.0337126492</v>
      </c>
    </row>
    <row r="17" spans="1:4" s="33" customFormat="1" x14ac:dyDescent="0.3">
      <c r="A17" s="71" t="s">
        <v>160</v>
      </c>
      <c r="B17" s="81">
        <v>327.66896717278001</v>
      </c>
      <c r="C17" s="81">
        <v>775.46909170532001</v>
      </c>
      <c r="D17" s="81">
        <v>998.54508038519998</v>
      </c>
    </row>
    <row r="18" spans="1:4" s="33" customFormat="1" x14ac:dyDescent="0.3">
      <c r="A18" s="71" t="s">
        <v>161</v>
      </c>
      <c r="B18" s="81">
        <v>0</v>
      </c>
      <c r="C18" s="81">
        <v>0</v>
      </c>
      <c r="D18" s="81">
        <v>0</v>
      </c>
    </row>
    <row r="19" spans="1:4" s="33" customFormat="1" x14ac:dyDescent="0.3">
      <c r="A19" s="71" t="s">
        <v>162</v>
      </c>
      <c r="B19" s="81">
        <v>4212.8697790251599</v>
      </c>
      <c r="C19" s="81">
        <v>4736.4277748242002</v>
      </c>
      <c r="D19" s="81">
        <v>5008.0912406182397</v>
      </c>
    </row>
    <row r="20" spans="1:4" s="33" customFormat="1" x14ac:dyDescent="0.3">
      <c r="A20" s="71" t="s">
        <v>543</v>
      </c>
      <c r="B20" s="81">
        <v>0</v>
      </c>
      <c r="C20" s="81">
        <v>0</v>
      </c>
      <c r="D20" s="81">
        <v>0</v>
      </c>
    </row>
    <row r="21" spans="1:4" s="33" customFormat="1" x14ac:dyDescent="0.3">
      <c r="A21" s="71" t="s">
        <v>163</v>
      </c>
      <c r="B21" s="81">
        <v>29833.726408121202</v>
      </c>
      <c r="C21" s="81">
        <v>40743.104948966698</v>
      </c>
      <c r="D21" s="81">
        <v>45412.823821828599</v>
      </c>
    </row>
    <row r="22" spans="1:4" s="33" customFormat="1" x14ac:dyDescent="0.3">
      <c r="A22" s="71" t="s">
        <v>544</v>
      </c>
      <c r="B22" s="81">
        <v>0</v>
      </c>
      <c r="C22" s="81">
        <v>0</v>
      </c>
      <c r="D22" s="81">
        <v>0</v>
      </c>
    </row>
    <row r="23" spans="1:4" s="33" customFormat="1" x14ac:dyDescent="0.3">
      <c r="A23" s="71" t="s">
        <v>545</v>
      </c>
      <c r="B23" s="81">
        <v>0</v>
      </c>
      <c r="C23" s="81">
        <v>0</v>
      </c>
      <c r="D23" s="81">
        <v>0</v>
      </c>
    </row>
    <row r="24" spans="1:4" s="33" customFormat="1" x14ac:dyDescent="0.3">
      <c r="A24" s="71" t="s">
        <v>164</v>
      </c>
      <c r="B24" s="81">
        <v>1343.8462995699599</v>
      </c>
      <c r="C24" s="81">
        <v>3279.5924815842</v>
      </c>
      <c r="D24" s="81">
        <v>5094.4840392156002</v>
      </c>
    </row>
    <row r="25" spans="1:4" s="33" customFormat="1" x14ac:dyDescent="0.3">
      <c r="A25" s="71" t="s">
        <v>165</v>
      </c>
      <c r="B25" s="81">
        <v>26702.604703281999</v>
      </c>
      <c r="C25" s="81">
        <v>42925.527902128</v>
      </c>
      <c r="D25" s="81">
        <v>51004.310243337997</v>
      </c>
    </row>
    <row r="26" spans="1:4" s="33" customFormat="1" x14ac:dyDescent="0.3">
      <c r="A26" s="71" t="s">
        <v>546</v>
      </c>
      <c r="B26" s="81">
        <v>281.09324196382198</v>
      </c>
      <c r="C26" s="81">
        <v>6953.8370324546704</v>
      </c>
      <c r="D26" s="81">
        <v>8506.6489434783998</v>
      </c>
    </row>
    <row r="27" spans="1:4" s="33" customFormat="1" x14ac:dyDescent="0.3">
      <c r="A27" s="71" t="s">
        <v>547</v>
      </c>
      <c r="B27" s="81">
        <v>0</v>
      </c>
      <c r="C27" s="81">
        <v>0</v>
      </c>
      <c r="D27" s="81">
        <v>0</v>
      </c>
    </row>
    <row r="28" spans="1:4" s="33" customFormat="1" x14ac:dyDescent="0.3">
      <c r="A28" s="71" t="s">
        <v>166</v>
      </c>
      <c r="B28" s="81">
        <v>0</v>
      </c>
      <c r="C28" s="81">
        <v>0</v>
      </c>
      <c r="D28" s="81">
        <v>0</v>
      </c>
    </row>
    <row r="29" spans="1:4" s="33" customFormat="1" x14ac:dyDescent="0.3">
      <c r="A29" s="71" t="s">
        <v>548</v>
      </c>
      <c r="B29" s="81">
        <v>0</v>
      </c>
      <c r="C29" s="81">
        <v>0</v>
      </c>
      <c r="D29" s="81">
        <v>0</v>
      </c>
    </row>
    <row r="30" spans="1:4" s="33" customFormat="1" x14ac:dyDescent="0.3">
      <c r="A30" s="71" t="s">
        <v>549</v>
      </c>
      <c r="B30" s="81">
        <v>0</v>
      </c>
      <c r="C30" s="81">
        <v>0</v>
      </c>
      <c r="D30" s="81">
        <v>0</v>
      </c>
    </row>
    <row r="31" spans="1:4" s="33" customFormat="1" x14ac:dyDescent="0.3">
      <c r="A31" s="71" t="s">
        <v>167</v>
      </c>
      <c r="B31" s="81">
        <v>4502.2465984715</v>
      </c>
      <c r="C31" s="81">
        <v>6310.7940806138904</v>
      </c>
      <c r="D31" s="81">
        <v>7372.9477120519996</v>
      </c>
    </row>
    <row r="32" spans="1:4" s="33" customFormat="1" x14ac:dyDescent="0.3">
      <c r="A32" s="71" t="s">
        <v>168</v>
      </c>
      <c r="B32" s="81">
        <v>2736.1124118712801</v>
      </c>
      <c r="C32" s="81">
        <v>3250.6401824169102</v>
      </c>
      <c r="D32" s="81">
        <v>3590.3106924271301</v>
      </c>
    </row>
    <row r="33" spans="1:4" s="33" customFormat="1" x14ac:dyDescent="0.3">
      <c r="A33" s="71" t="s">
        <v>550</v>
      </c>
      <c r="B33" s="81">
        <v>0</v>
      </c>
      <c r="C33" s="81">
        <v>0</v>
      </c>
      <c r="D33" s="81">
        <v>0</v>
      </c>
    </row>
    <row r="34" spans="1:4" s="33" customFormat="1" x14ac:dyDescent="0.3">
      <c r="A34" s="71" t="s">
        <v>551</v>
      </c>
      <c r="B34" s="81">
        <v>0</v>
      </c>
      <c r="C34" s="81">
        <v>0</v>
      </c>
      <c r="D34" s="81">
        <v>0</v>
      </c>
    </row>
    <row r="35" spans="1:4" s="33" customFormat="1" x14ac:dyDescent="0.3">
      <c r="A35" s="71" t="s">
        <v>552</v>
      </c>
      <c r="B35" s="81">
        <v>35.005584497999997</v>
      </c>
      <c r="C35" s="81">
        <v>31.893999304000001</v>
      </c>
      <c r="D35" s="81">
        <v>30.338194458</v>
      </c>
    </row>
    <row r="36" spans="1:4" s="33" customFormat="1" x14ac:dyDescent="0.3">
      <c r="A36" s="71" t="s">
        <v>553</v>
      </c>
      <c r="B36" s="81">
        <v>604.95278644738005</v>
      </c>
      <c r="C36" s="81">
        <v>1173.3773702722799</v>
      </c>
      <c r="D36" s="81">
        <v>1456.7211589610399</v>
      </c>
    </row>
    <row r="37" spans="1:4" s="33" customFormat="1" x14ac:dyDescent="0.3">
      <c r="A37" s="71" t="s">
        <v>554</v>
      </c>
      <c r="B37" s="81">
        <v>0</v>
      </c>
      <c r="C37" s="81">
        <v>0</v>
      </c>
      <c r="D37" s="81">
        <v>0</v>
      </c>
    </row>
    <row r="38" spans="1:4" s="33" customFormat="1" x14ac:dyDescent="0.3">
      <c r="A38" s="71" t="s">
        <v>555</v>
      </c>
      <c r="B38" s="81">
        <v>0</v>
      </c>
      <c r="C38" s="81">
        <v>0</v>
      </c>
      <c r="D38" s="81">
        <v>0</v>
      </c>
    </row>
    <row r="39" spans="1:4" s="33" customFormat="1" x14ac:dyDescent="0.3">
      <c r="A39" s="71" t="s">
        <v>169</v>
      </c>
      <c r="B39" s="81">
        <v>27.4078384314979</v>
      </c>
      <c r="C39" s="81">
        <v>26.8493100088359</v>
      </c>
      <c r="D39" s="81">
        <v>26.5690965817559</v>
      </c>
    </row>
    <row r="40" spans="1:4" s="33" customFormat="1" x14ac:dyDescent="0.3">
      <c r="A40" s="71" t="s">
        <v>170</v>
      </c>
      <c r="B40" s="81">
        <v>538.28467213220404</v>
      </c>
      <c r="C40" s="81">
        <v>740.15014811761102</v>
      </c>
      <c r="D40" s="81">
        <v>1344.0068982431901</v>
      </c>
    </row>
    <row r="41" spans="1:4" s="33" customFormat="1" x14ac:dyDescent="0.3">
      <c r="A41" s="71" t="s">
        <v>556</v>
      </c>
      <c r="B41" s="81">
        <v>0</v>
      </c>
      <c r="C41" s="81">
        <v>0</v>
      </c>
      <c r="D41" s="81">
        <v>0</v>
      </c>
    </row>
    <row r="42" spans="1:4" s="33" customFormat="1" x14ac:dyDescent="0.3">
      <c r="A42" s="71" t="s">
        <v>171</v>
      </c>
      <c r="B42" s="81">
        <v>204.396010884579</v>
      </c>
      <c r="C42" s="81">
        <v>204.53861158595899</v>
      </c>
      <c r="D42" s="81">
        <v>204.58643524875399</v>
      </c>
    </row>
    <row r="43" spans="1:4" s="33" customFormat="1" x14ac:dyDescent="0.3">
      <c r="A43" s="71" t="s">
        <v>172</v>
      </c>
      <c r="B43" s="81">
        <v>225.80188058119899</v>
      </c>
      <c r="C43" s="81">
        <v>238.50961054199999</v>
      </c>
      <c r="D43" s="81">
        <v>238.50961054199999</v>
      </c>
    </row>
    <row r="44" spans="1:4" s="33" customFormat="1" x14ac:dyDescent="0.3">
      <c r="A44" s="71" t="s">
        <v>173</v>
      </c>
      <c r="B44" s="81">
        <v>3067.6459873419999</v>
      </c>
      <c r="C44" s="81">
        <v>3302.222522136</v>
      </c>
      <c r="D44" s="81">
        <v>3302.222522136</v>
      </c>
    </row>
    <row r="45" spans="1:4" s="33" customFormat="1" x14ac:dyDescent="0.3">
      <c r="A45" s="71" t="s">
        <v>174</v>
      </c>
      <c r="B45" s="81">
        <v>313.86647799999997</v>
      </c>
      <c r="C45" s="81">
        <v>314.53173600000002</v>
      </c>
      <c r="D45" s="81">
        <v>314.53173600000002</v>
      </c>
    </row>
    <row r="46" spans="1:4" s="33" customFormat="1" x14ac:dyDescent="0.3">
      <c r="A46" s="71" t="s">
        <v>175</v>
      </c>
      <c r="B46" s="81">
        <v>110.557493056477</v>
      </c>
      <c r="C46" s="81">
        <v>110.372886112955</v>
      </c>
      <c r="D46" s="81">
        <v>110.372886112955</v>
      </c>
    </row>
    <row r="47" spans="1:4" s="33" customFormat="1" x14ac:dyDescent="0.3">
      <c r="A47" s="71" t="s">
        <v>176</v>
      </c>
      <c r="B47" s="81">
        <v>0.668060907978</v>
      </c>
      <c r="C47" s="81">
        <v>0.66808181595600002</v>
      </c>
      <c r="D47" s="81">
        <v>0.66808181595600002</v>
      </c>
    </row>
    <row r="48" spans="1:4" s="33" customFormat="1" x14ac:dyDescent="0.3">
      <c r="A48" s="71" t="s">
        <v>557</v>
      </c>
      <c r="B48" s="81">
        <v>0</v>
      </c>
      <c r="C48" s="81">
        <v>0</v>
      </c>
      <c r="D48" s="81">
        <v>0</v>
      </c>
    </row>
    <row r="49" spans="1:4" s="33" customFormat="1" x14ac:dyDescent="0.3">
      <c r="A49" s="71" t="s">
        <v>558</v>
      </c>
      <c r="B49" s="81">
        <v>0</v>
      </c>
      <c r="C49" s="81">
        <v>0</v>
      </c>
      <c r="D49" s="81">
        <v>0</v>
      </c>
    </row>
    <row r="50" spans="1:4" s="33" customFormat="1" x14ac:dyDescent="0.3">
      <c r="A50" s="71" t="s">
        <v>177</v>
      </c>
      <c r="B50" s="81">
        <v>650.19969719753999</v>
      </c>
      <c r="C50" s="81">
        <v>651.28049422727997</v>
      </c>
      <c r="D50" s="81">
        <v>651.28049422727997</v>
      </c>
    </row>
    <row r="51" spans="1:4" s="33" customFormat="1" x14ac:dyDescent="0.3">
      <c r="A51" s="71" t="s">
        <v>559</v>
      </c>
      <c r="B51" s="81">
        <v>369.21496849099998</v>
      </c>
      <c r="C51" s="81">
        <v>372.38735168400001</v>
      </c>
      <c r="D51" s="81">
        <v>372.38735168400001</v>
      </c>
    </row>
    <row r="52" spans="1:4" s="33" customFormat="1" x14ac:dyDescent="0.3">
      <c r="A52" s="71" t="s">
        <v>560</v>
      </c>
      <c r="B52" s="81">
        <v>39.17531202</v>
      </c>
      <c r="C52" s="81">
        <v>39.17530404</v>
      </c>
      <c r="D52" s="81">
        <v>39.17530404</v>
      </c>
    </row>
    <row r="53" spans="1:4" s="33" customFormat="1" x14ac:dyDescent="0.3">
      <c r="A53" s="71" t="s">
        <v>178</v>
      </c>
      <c r="B53" s="81">
        <v>344.10515904440001</v>
      </c>
      <c r="C53" s="81">
        <v>349.70940997079902</v>
      </c>
      <c r="D53" s="81">
        <v>349.61850631612901</v>
      </c>
    </row>
    <row r="54" spans="1:4" s="33" customFormat="1" x14ac:dyDescent="0.3">
      <c r="A54" s="71" t="s">
        <v>561</v>
      </c>
      <c r="B54" s="81">
        <v>50.201877385800003</v>
      </c>
      <c r="C54" s="81">
        <v>50.201874771599996</v>
      </c>
      <c r="D54" s="81">
        <v>50.201874771599996</v>
      </c>
    </row>
    <row r="55" spans="1:4" s="33" customFormat="1" x14ac:dyDescent="0.3">
      <c r="A55" s="71" t="s">
        <v>562</v>
      </c>
      <c r="B55" s="81">
        <v>477.08654790239899</v>
      </c>
      <c r="C55" s="81">
        <v>477.08657580480002</v>
      </c>
      <c r="D55" s="81">
        <v>477.08657580480002</v>
      </c>
    </row>
    <row r="56" spans="1:4" s="33" customFormat="1" x14ac:dyDescent="0.3">
      <c r="A56" s="71" t="s">
        <v>179</v>
      </c>
      <c r="B56" s="81">
        <v>8156.3432178020003</v>
      </c>
      <c r="C56" s="81">
        <v>8552.9620350113892</v>
      </c>
      <c r="D56" s="81">
        <v>8780.0385052628008</v>
      </c>
    </row>
    <row r="57" spans="1:4" s="33" customFormat="1" x14ac:dyDescent="0.3">
      <c r="A57" s="71" t="s">
        <v>563</v>
      </c>
      <c r="B57" s="81">
        <v>2429.3240957060002</v>
      </c>
      <c r="C57" s="81">
        <v>2451.9488371560001</v>
      </c>
      <c r="D57" s="81">
        <v>2547.3967409880001</v>
      </c>
    </row>
    <row r="58" spans="1:4" s="33" customFormat="1" x14ac:dyDescent="0.3">
      <c r="A58" s="71" t="s">
        <v>180</v>
      </c>
      <c r="B58" s="81">
        <v>1170.00329278758</v>
      </c>
      <c r="C58" s="81">
        <v>1191.1671332747601</v>
      </c>
      <c r="D58" s="81">
        <v>1204.81706823995</v>
      </c>
    </row>
    <row r="59" spans="1:4" s="33" customFormat="1" x14ac:dyDescent="0.3">
      <c r="A59" s="71" t="s">
        <v>564</v>
      </c>
      <c r="B59" s="81">
        <v>438.68879311849997</v>
      </c>
      <c r="C59" s="81">
        <v>439.62415547040001</v>
      </c>
      <c r="D59" s="81">
        <v>444.09208998439999</v>
      </c>
    </row>
    <row r="60" spans="1:4" s="33" customFormat="1" x14ac:dyDescent="0.3">
      <c r="A60" s="71" t="s">
        <v>565</v>
      </c>
      <c r="B60" s="81">
        <v>387.43054606639902</v>
      </c>
      <c r="C60" s="81">
        <v>389.66587279275598</v>
      </c>
      <c r="D60" s="81">
        <v>389.66587279275598</v>
      </c>
    </row>
    <row r="61" spans="1:4" s="33" customFormat="1" x14ac:dyDescent="0.3">
      <c r="A61" s="71" t="s">
        <v>181</v>
      </c>
      <c r="B61" s="81">
        <v>1321.6047669330801</v>
      </c>
      <c r="C61" s="81">
        <v>1325.11914745135</v>
      </c>
      <c r="D61" s="81">
        <v>1330.6838058017499</v>
      </c>
    </row>
    <row r="62" spans="1:4" s="33" customFormat="1" x14ac:dyDescent="0.3">
      <c r="A62" s="71" t="s">
        <v>566</v>
      </c>
      <c r="B62" s="81">
        <v>212.12821765999999</v>
      </c>
      <c r="C62" s="81">
        <v>212.25078717599899</v>
      </c>
      <c r="D62" s="81">
        <v>212.25078717599899</v>
      </c>
    </row>
    <row r="63" spans="1:4" s="33" customFormat="1" x14ac:dyDescent="0.3">
      <c r="A63" s="71" t="s">
        <v>567</v>
      </c>
      <c r="B63" s="81">
        <v>12.429130036199901</v>
      </c>
      <c r="C63" s="81">
        <v>14.2800926888999</v>
      </c>
      <c r="D63" s="81">
        <v>65.615602872400004</v>
      </c>
    </row>
    <row r="64" spans="1:4" s="33" customFormat="1" x14ac:dyDescent="0.3">
      <c r="A64" s="71" t="s">
        <v>182</v>
      </c>
      <c r="B64" s="81">
        <v>156.98650791087601</v>
      </c>
      <c r="C64" s="81">
        <v>166.88592850972199</v>
      </c>
      <c r="D64" s="81">
        <v>191.80519873059899</v>
      </c>
    </row>
    <row r="65" spans="1:4" s="33" customFormat="1" x14ac:dyDescent="0.3">
      <c r="A65" s="71" t="s">
        <v>568</v>
      </c>
      <c r="B65" s="81">
        <v>26.015794330099901</v>
      </c>
      <c r="C65" s="81">
        <v>32.918513199099998</v>
      </c>
      <c r="D65" s="81">
        <v>38.513210127100002</v>
      </c>
    </row>
    <row r="66" spans="1:4" s="33" customFormat="1" x14ac:dyDescent="0.3">
      <c r="A66" s="71" t="s">
        <v>569</v>
      </c>
      <c r="B66" s="81">
        <v>11.5535940126</v>
      </c>
      <c r="C66" s="81">
        <v>11.5535880252</v>
      </c>
      <c r="D66" s="81">
        <v>11.5535880252</v>
      </c>
    </row>
    <row r="67" spans="1:4" s="33" customFormat="1" x14ac:dyDescent="0.3">
      <c r="A67" s="71" t="s">
        <v>183</v>
      </c>
      <c r="B67" s="81">
        <v>7.45498672799999</v>
      </c>
      <c r="C67" s="81">
        <v>7.4549734559999896</v>
      </c>
      <c r="D67" s="81">
        <v>7.4549734559999896</v>
      </c>
    </row>
    <row r="68" spans="1:4" s="33" customFormat="1" x14ac:dyDescent="0.3">
      <c r="A68" s="71" t="s">
        <v>184</v>
      </c>
      <c r="B68" s="81">
        <v>90.4442530379999</v>
      </c>
      <c r="C68" s="81">
        <v>90.444266075999906</v>
      </c>
      <c r="D68" s="81">
        <v>90.444266075999906</v>
      </c>
    </row>
    <row r="69" spans="1:4" s="33" customFormat="1" x14ac:dyDescent="0.3">
      <c r="A69" s="71" t="s">
        <v>185</v>
      </c>
      <c r="B69" s="81">
        <v>3.9185195207999999</v>
      </c>
      <c r="C69" s="81">
        <v>4.026039777606</v>
      </c>
      <c r="D69" s="81">
        <v>4.3595223816359896</v>
      </c>
    </row>
    <row r="70" spans="1:4" s="33" customFormat="1" x14ac:dyDescent="0.3">
      <c r="A70" s="71" t="s">
        <v>186</v>
      </c>
      <c r="B70" s="81">
        <v>155.87796851399901</v>
      </c>
      <c r="C70" s="81">
        <v>155.87797702799901</v>
      </c>
      <c r="D70" s="81">
        <v>155.87797702799901</v>
      </c>
    </row>
    <row r="71" spans="1:4" s="33" customFormat="1" x14ac:dyDescent="0.3">
      <c r="A71" s="71" t="s">
        <v>187</v>
      </c>
      <c r="B71" s="81">
        <v>142.92059687299999</v>
      </c>
      <c r="C71" s="81">
        <v>150.01792622900001</v>
      </c>
      <c r="D71" s="81">
        <v>150.18627255599901</v>
      </c>
    </row>
    <row r="72" spans="1:4" s="33" customFormat="1" x14ac:dyDescent="0.3">
      <c r="A72" s="71" t="s">
        <v>188</v>
      </c>
      <c r="B72" s="81">
        <v>9.8894039221799908</v>
      </c>
      <c r="C72" s="81">
        <v>11.835622442459901</v>
      </c>
      <c r="D72" s="81">
        <v>56.599478189999999</v>
      </c>
    </row>
    <row r="73" spans="1:4" s="33" customFormat="1" x14ac:dyDescent="0.3">
      <c r="A73" s="71" t="s">
        <v>189</v>
      </c>
      <c r="B73" s="81">
        <v>299.80738382430002</v>
      </c>
      <c r="C73" s="81">
        <v>309.70883863969999</v>
      </c>
      <c r="D73" s="81">
        <v>320.61021479159899</v>
      </c>
    </row>
    <row r="74" spans="1:4" s="33" customFormat="1" x14ac:dyDescent="0.3">
      <c r="A74" s="71" t="s">
        <v>190</v>
      </c>
      <c r="B74" s="81">
        <v>3049.2812755310001</v>
      </c>
      <c r="C74" s="81">
        <v>3556.7166043950001</v>
      </c>
      <c r="D74" s="81">
        <v>3760.2157690929998</v>
      </c>
    </row>
    <row r="75" spans="1:4" s="33" customFormat="1" x14ac:dyDescent="0.3">
      <c r="A75" s="71" t="s">
        <v>191</v>
      </c>
      <c r="B75" s="81">
        <v>254.021202371399</v>
      </c>
      <c r="C75" s="81">
        <v>254.02124474279901</v>
      </c>
      <c r="D75" s="81">
        <v>254.02124474279901</v>
      </c>
    </row>
    <row r="76" spans="1:4" s="33" customFormat="1" x14ac:dyDescent="0.3">
      <c r="A76" s="71" t="s">
        <v>192</v>
      </c>
      <c r="B76" s="81">
        <v>552.789437088</v>
      </c>
      <c r="C76" s="81">
        <v>552.80409417599901</v>
      </c>
      <c r="D76" s="81">
        <v>552.80409417599901</v>
      </c>
    </row>
    <row r="77" spans="1:4" s="33" customFormat="1" x14ac:dyDescent="0.3">
      <c r="A77" s="71" t="s">
        <v>193</v>
      </c>
      <c r="B77" s="81">
        <v>413.55457866599897</v>
      </c>
      <c r="C77" s="81">
        <v>451.47652489199902</v>
      </c>
      <c r="D77" s="81">
        <v>474.22968142799903</v>
      </c>
    </row>
    <row r="78" spans="1:4" s="33" customFormat="1" x14ac:dyDescent="0.3">
      <c r="A78" s="71" t="s">
        <v>194</v>
      </c>
      <c r="B78" s="81">
        <v>2487.7936173899998</v>
      </c>
      <c r="C78" s="81">
        <v>2705.0097489099999</v>
      </c>
      <c r="D78" s="81">
        <v>2878.5651776700001</v>
      </c>
    </row>
    <row r="79" spans="1:4" s="33" customFormat="1" x14ac:dyDescent="0.3">
      <c r="A79" s="71" t="s">
        <v>570</v>
      </c>
      <c r="B79" s="81">
        <v>0</v>
      </c>
      <c r="C79" s="81">
        <v>0</v>
      </c>
      <c r="D79" s="81">
        <v>0</v>
      </c>
    </row>
    <row r="80" spans="1:4" s="33" customFormat="1" x14ac:dyDescent="0.3">
      <c r="A80" s="71" t="s">
        <v>195</v>
      </c>
      <c r="B80" s="81">
        <v>209.912772383999</v>
      </c>
      <c r="C80" s="81">
        <v>209.912784767999</v>
      </c>
      <c r="D80" s="81">
        <v>209.912784767999</v>
      </c>
    </row>
    <row r="81" spans="1:4" s="33" customFormat="1" x14ac:dyDescent="0.3">
      <c r="A81" s="71" t="s">
        <v>196</v>
      </c>
      <c r="B81" s="81">
        <v>1807.6526978320001</v>
      </c>
      <c r="C81" s="81">
        <v>1846.2905673709899</v>
      </c>
      <c r="D81" s="81">
        <v>1980.6373592970001</v>
      </c>
    </row>
    <row r="82" spans="1:4" s="33" customFormat="1" x14ac:dyDescent="0.3">
      <c r="A82" s="71" t="s">
        <v>197</v>
      </c>
      <c r="B82" s="81">
        <v>33.050077016799897</v>
      </c>
      <c r="C82" s="81">
        <v>33.014274033599897</v>
      </c>
      <c r="D82" s="81">
        <v>33.014274033599897</v>
      </c>
    </row>
    <row r="83" spans="1:4" s="33" customFormat="1" x14ac:dyDescent="0.3">
      <c r="A83" s="71" t="s">
        <v>198</v>
      </c>
      <c r="B83" s="81">
        <v>182.578174179</v>
      </c>
      <c r="C83" s="81">
        <v>183.71174364000001</v>
      </c>
      <c r="D83" s="81">
        <v>183.71174364000001</v>
      </c>
    </row>
    <row r="84" spans="1:4" s="33" customFormat="1" x14ac:dyDescent="0.3">
      <c r="A84" s="71" t="s">
        <v>571</v>
      </c>
      <c r="B84" s="81">
        <v>0</v>
      </c>
      <c r="C84" s="81">
        <v>0</v>
      </c>
      <c r="D84" s="81">
        <v>0</v>
      </c>
    </row>
    <row r="85" spans="1:4" s="33" customFormat="1" x14ac:dyDescent="0.3">
      <c r="A85" s="71" t="s">
        <v>572</v>
      </c>
      <c r="B85" s="81">
        <v>0</v>
      </c>
      <c r="C85" s="81">
        <v>0</v>
      </c>
      <c r="D85" s="81">
        <v>0</v>
      </c>
    </row>
    <row r="86" spans="1:4" x14ac:dyDescent="0.3">
      <c r="A86" s="71" t="s">
        <v>199</v>
      </c>
      <c r="B86" s="81">
        <v>183.12990803299999</v>
      </c>
      <c r="C86" s="81">
        <v>513.87457921600003</v>
      </c>
      <c r="D86" s="81">
        <v>854.38747799599901</v>
      </c>
    </row>
    <row r="87" spans="1:4" x14ac:dyDescent="0.3">
      <c r="A87" s="71" t="s">
        <v>200</v>
      </c>
      <c r="B87" s="81">
        <v>0</v>
      </c>
      <c r="C87" s="81">
        <v>0</v>
      </c>
      <c r="D87" s="81">
        <v>0</v>
      </c>
    </row>
    <row r="88" spans="1:4" x14ac:dyDescent="0.3">
      <c r="A88" s="71" t="s">
        <v>573</v>
      </c>
      <c r="B88" s="81">
        <v>0</v>
      </c>
      <c r="C88" s="81">
        <v>0</v>
      </c>
      <c r="D88" s="81">
        <v>0</v>
      </c>
    </row>
    <row r="89" spans="1:4" x14ac:dyDescent="0.3">
      <c r="A89" s="71" t="s">
        <v>574</v>
      </c>
      <c r="B89" s="81">
        <v>0</v>
      </c>
      <c r="C89" s="81">
        <v>0</v>
      </c>
      <c r="D89" s="81">
        <v>0</v>
      </c>
    </row>
    <row r="90" spans="1:4" s="10" customFormat="1" x14ac:dyDescent="0.3">
      <c r="A90" s="71" t="s">
        <v>201</v>
      </c>
      <c r="B90" s="81">
        <v>2943.4715063459998</v>
      </c>
      <c r="C90" s="81">
        <v>3157.1434627859999</v>
      </c>
      <c r="D90" s="81">
        <v>3497.3652300069998</v>
      </c>
    </row>
    <row r="91" spans="1:4" x14ac:dyDescent="0.3">
      <c r="A91" s="71" t="s">
        <v>202</v>
      </c>
      <c r="B91" s="81">
        <v>6488.7341807099901</v>
      </c>
      <c r="C91" s="81">
        <v>6764.6202850099999</v>
      </c>
      <c r="D91" s="81">
        <v>6995.9141712299997</v>
      </c>
    </row>
    <row r="92" spans="1:4" x14ac:dyDescent="0.3">
      <c r="A92" s="71" t="s">
        <v>203</v>
      </c>
      <c r="B92" s="81">
        <v>10973.06575485</v>
      </c>
      <c r="C92" s="81">
        <v>11904.97897301</v>
      </c>
      <c r="D92" s="81">
        <v>13099.283552389999</v>
      </c>
    </row>
    <row r="93" spans="1:4" x14ac:dyDescent="0.3">
      <c r="A93" s="71" t="s">
        <v>204</v>
      </c>
      <c r="B93" s="81">
        <v>1365.5858125099901</v>
      </c>
      <c r="C93" s="81">
        <v>1554.29678681</v>
      </c>
      <c r="D93" s="81">
        <v>1734.0326375100001</v>
      </c>
    </row>
    <row r="94" spans="1:4" x14ac:dyDescent="0.3">
      <c r="A94" s="71" t="s">
        <v>205</v>
      </c>
      <c r="B94" s="81">
        <v>5378.8527332789999</v>
      </c>
      <c r="C94" s="81">
        <v>5899.165327535</v>
      </c>
      <c r="D94" s="81">
        <v>6383.6051967099902</v>
      </c>
    </row>
    <row r="95" spans="1:4" x14ac:dyDescent="0.3">
      <c r="A95" s="71" t="s">
        <v>206</v>
      </c>
      <c r="B95" s="81">
        <v>3921.22700402999</v>
      </c>
      <c r="C95" s="81">
        <v>4065.5609842099998</v>
      </c>
      <c r="D95" s="81">
        <v>4204.88634275</v>
      </c>
    </row>
    <row r="96" spans="1:4" x14ac:dyDescent="0.3">
      <c r="A96" s="71" t="s">
        <v>207</v>
      </c>
      <c r="B96" s="81">
        <v>1055.7465220700001</v>
      </c>
      <c r="C96" s="81">
        <v>1121.98133884</v>
      </c>
      <c r="D96" s="81">
        <v>1147.7418344</v>
      </c>
    </row>
    <row r="97" spans="1:4" s="10" customFormat="1" x14ac:dyDescent="0.3">
      <c r="A97" s="71" t="s">
        <v>208</v>
      </c>
      <c r="B97" s="81">
        <v>1163.177368122</v>
      </c>
      <c r="C97" s="81">
        <v>1207.21017278</v>
      </c>
      <c r="D97" s="81">
        <v>1245.1547256900001</v>
      </c>
    </row>
    <row r="98" spans="1:4" x14ac:dyDescent="0.3">
      <c r="A98" s="71" t="s">
        <v>209</v>
      </c>
      <c r="B98" s="81">
        <v>4984.7985152729998</v>
      </c>
      <c r="C98" s="81">
        <v>5270.5459489899904</v>
      </c>
      <c r="D98" s="81">
        <v>5537.3675777689996</v>
      </c>
    </row>
    <row r="99" spans="1:4" x14ac:dyDescent="0.3">
      <c r="A99" s="71" t="s">
        <v>575</v>
      </c>
      <c r="B99" s="81">
        <v>29.783228884</v>
      </c>
      <c r="C99" s="81">
        <v>33.519475632000002</v>
      </c>
      <c r="D99" s="81">
        <v>28.863569052999999</v>
      </c>
    </row>
    <row r="100" spans="1:4" x14ac:dyDescent="0.3">
      <c r="A100" s="71" t="s">
        <v>210</v>
      </c>
      <c r="B100" s="81">
        <v>255.69065864800001</v>
      </c>
      <c r="C100" s="81">
        <v>271.31298573599997</v>
      </c>
      <c r="D100" s="81">
        <v>271.99175652600002</v>
      </c>
    </row>
    <row r="101" spans="1:4" x14ac:dyDescent="0.3">
      <c r="A101" s="71" t="s">
        <v>211</v>
      </c>
      <c r="B101" s="81">
        <v>274.83813655</v>
      </c>
      <c r="C101" s="81">
        <v>289.94052175000002</v>
      </c>
      <c r="D101" s="81">
        <v>311.22975666999997</v>
      </c>
    </row>
    <row r="102" spans="1:4" x14ac:dyDescent="0.3">
      <c r="A102" s="71" t="s">
        <v>576</v>
      </c>
      <c r="B102" s="81">
        <v>0</v>
      </c>
      <c r="C102" s="81">
        <v>0</v>
      </c>
      <c r="D102" s="81">
        <v>0</v>
      </c>
    </row>
    <row r="103" spans="1:4" x14ac:dyDescent="0.3">
      <c r="A103" s="71" t="s">
        <v>212</v>
      </c>
      <c r="B103" s="81">
        <v>7.1326683414999996</v>
      </c>
      <c r="C103" s="81">
        <v>10.044396347999999</v>
      </c>
      <c r="D103" s="81">
        <v>10.044396347999999</v>
      </c>
    </row>
    <row r="104" spans="1:4" x14ac:dyDescent="0.3">
      <c r="A104" s="71" t="s">
        <v>577</v>
      </c>
      <c r="B104" s="81">
        <v>6.8507707487999898</v>
      </c>
      <c r="C104" s="81">
        <v>6.8507414975999898</v>
      </c>
      <c r="D104" s="81">
        <v>6.8507414975999898</v>
      </c>
    </row>
    <row r="105" spans="1:4" x14ac:dyDescent="0.3">
      <c r="A105" s="71" t="s">
        <v>213</v>
      </c>
      <c r="B105" s="81">
        <v>839.82904488999998</v>
      </c>
      <c r="C105" s="81">
        <v>872.25906783999994</v>
      </c>
      <c r="D105" s="81">
        <v>889.48176794000005</v>
      </c>
    </row>
    <row r="106" spans="1:4" x14ac:dyDescent="0.3">
      <c r="A106" s="71" t="s">
        <v>578</v>
      </c>
      <c r="B106" s="81">
        <v>0</v>
      </c>
      <c r="C106" s="81">
        <v>0</v>
      </c>
      <c r="D106" s="81">
        <v>0</v>
      </c>
    </row>
    <row r="107" spans="1:4" x14ac:dyDescent="0.3">
      <c r="A107" s="71" t="s">
        <v>579</v>
      </c>
      <c r="B107" s="81">
        <v>0</v>
      </c>
      <c r="C107" s="81">
        <v>0</v>
      </c>
      <c r="D107" s="81">
        <v>0</v>
      </c>
    </row>
    <row r="108" spans="1:4" x14ac:dyDescent="0.3">
      <c r="A108" s="71" t="s">
        <v>214</v>
      </c>
      <c r="B108" s="81">
        <v>4.8005005500000003E-2</v>
      </c>
      <c r="C108" s="81">
        <v>4.8010010999999998E-2</v>
      </c>
      <c r="D108" s="81">
        <v>4.8010010999999998E-2</v>
      </c>
    </row>
    <row r="109" spans="1:4" x14ac:dyDescent="0.3">
      <c r="A109" s="71" t="s">
        <v>215</v>
      </c>
      <c r="B109" s="81">
        <v>0.59713684548000001</v>
      </c>
      <c r="C109" s="81">
        <v>0.59715369096000004</v>
      </c>
      <c r="D109" s="81">
        <v>0.59715369096000004</v>
      </c>
    </row>
    <row r="110" spans="1:4" x14ac:dyDescent="0.3">
      <c r="A110" s="71" t="s">
        <v>580</v>
      </c>
      <c r="B110" s="81">
        <v>0</v>
      </c>
      <c r="C110" s="81">
        <v>0</v>
      </c>
      <c r="D110" s="81">
        <v>0</v>
      </c>
    </row>
    <row r="111" spans="1:4" x14ac:dyDescent="0.3">
      <c r="A111" s="71" t="s">
        <v>581</v>
      </c>
      <c r="B111" s="81">
        <v>0</v>
      </c>
      <c r="C111" s="81">
        <v>0</v>
      </c>
      <c r="D111" s="81">
        <v>0</v>
      </c>
    </row>
    <row r="112" spans="1:4" x14ac:dyDescent="0.3">
      <c r="A112" s="71" t="s">
        <v>216</v>
      </c>
      <c r="B112" s="81">
        <v>210.059170856999</v>
      </c>
      <c r="C112" s="81">
        <v>211.983248616</v>
      </c>
      <c r="D112" s="81">
        <v>215.14208407199899</v>
      </c>
    </row>
    <row r="113" spans="1:4" x14ac:dyDescent="0.3">
      <c r="A113" s="71" t="s">
        <v>217</v>
      </c>
      <c r="B113" s="81">
        <v>29.717870877999999</v>
      </c>
      <c r="C113" s="81">
        <v>30.197474904</v>
      </c>
      <c r="D113" s="81">
        <v>30.197474904</v>
      </c>
    </row>
    <row r="114" spans="1:4" x14ac:dyDescent="0.3">
      <c r="A114" s="71" t="s">
        <v>218</v>
      </c>
      <c r="B114" s="81">
        <v>92.547936459999903</v>
      </c>
      <c r="C114" s="81">
        <v>94.609308522000006</v>
      </c>
      <c r="D114" s="81">
        <v>95.957131254999993</v>
      </c>
    </row>
    <row r="115" spans="1:4" x14ac:dyDescent="0.3">
      <c r="A115" s="71" t="s">
        <v>582</v>
      </c>
      <c r="B115" s="81">
        <v>0</v>
      </c>
      <c r="C115" s="81">
        <v>0</v>
      </c>
      <c r="D115" s="81">
        <v>0</v>
      </c>
    </row>
    <row r="116" spans="1:4" x14ac:dyDescent="0.3">
      <c r="A116" s="71" t="s">
        <v>219</v>
      </c>
      <c r="B116" s="81">
        <v>79.120585500000004</v>
      </c>
      <c r="C116" s="81">
        <v>79.120610999999997</v>
      </c>
      <c r="D116" s="81">
        <v>79.120610999999997</v>
      </c>
    </row>
    <row r="117" spans="1:4" x14ac:dyDescent="0.3">
      <c r="A117" s="71" t="s">
        <v>583</v>
      </c>
      <c r="B117" s="81">
        <v>0</v>
      </c>
      <c r="C117" s="81">
        <v>0</v>
      </c>
      <c r="D117" s="81">
        <v>0</v>
      </c>
    </row>
    <row r="118" spans="1:4" x14ac:dyDescent="0.3">
      <c r="A118" s="71" t="s">
        <v>220</v>
      </c>
      <c r="B118" s="81">
        <v>50.188930962000001</v>
      </c>
      <c r="C118" s="81">
        <v>50.188941923999998</v>
      </c>
      <c r="D118" s="81">
        <v>50.188941923999998</v>
      </c>
    </row>
    <row r="119" spans="1:4" x14ac:dyDescent="0.3">
      <c r="A119" s="71" t="s">
        <v>221</v>
      </c>
      <c r="B119" s="81">
        <v>83.869812756019996</v>
      </c>
      <c r="C119" s="81">
        <v>84.19984551204</v>
      </c>
      <c r="D119" s="81">
        <v>84.19984551204</v>
      </c>
    </row>
    <row r="120" spans="1:4" x14ac:dyDescent="0.3">
      <c r="A120" s="71" t="s">
        <v>222</v>
      </c>
      <c r="B120" s="81">
        <v>75.397998873999995</v>
      </c>
      <c r="C120" s="81">
        <v>88.216902055999995</v>
      </c>
      <c r="D120" s="81">
        <v>126.616620715</v>
      </c>
    </row>
    <row r="121" spans="1:4" x14ac:dyDescent="0.3">
      <c r="A121" s="71" t="s">
        <v>223</v>
      </c>
      <c r="B121" s="81">
        <v>365.65936379089999</v>
      </c>
      <c r="C121" s="81">
        <v>448.746607004</v>
      </c>
      <c r="D121" s="81">
        <v>483.92517093610002</v>
      </c>
    </row>
    <row r="122" spans="1:4" x14ac:dyDescent="0.3">
      <c r="A122" s="71" t="s">
        <v>224</v>
      </c>
      <c r="B122" s="81">
        <v>105.55706874002</v>
      </c>
      <c r="C122" s="81">
        <v>107.53135748004</v>
      </c>
      <c r="D122" s="81">
        <v>107.53135748004</v>
      </c>
    </row>
    <row r="123" spans="1:4" x14ac:dyDescent="0.3">
      <c r="A123" s="71" t="s">
        <v>225</v>
      </c>
      <c r="B123" s="81">
        <v>393.73429412719997</v>
      </c>
      <c r="C123" s="81">
        <v>391.56225934259999</v>
      </c>
      <c r="D123" s="81">
        <v>427.47241438439897</v>
      </c>
    </row>
    <row r="124" spans="1:4" x14ac:dyDescent="0.3">
      <c r="A124" s="71" t="s">
        <v>584</v>
      </c>
      <c r="B124" s="81">
        <v>0</v>
      </c>
      <c r="C124" s="81">
        <v>0</v>
      </c>
      <c r="D124" s="81">
        <v>0</v>
      </c>
    </row>
    <row r="125" spans="1:4" x14ac:dyDescent="0.3">
      <c r="A125" s="71" t="s">
        <v>226</v>
      </c>
      <c r="B125" s="81">
        <v>1401.9898832179999</v>
      </c>
      <c r="C125" s="81">
        <v>1484.7426919489999</v>
      </c>
      <c r="D125" s="81">
        <v>1579.0897986780001</v>
      </c>
    </row>
    <row r="126" spans="1:4" x14ac:dyDescent="0.3">
      <c r="A126" s="71" t="s">
        <v>227</v>
      </c>
      <c r="B126" s="81">
        <v>58.166007330649897</v>
      </c>
      <c r="C126" s="81">
        <v>60.5594764605599</v>
      </c>
      <c r="D126" s="81">
        <v>60.5594764605599</v>
      </c>
    </row>
    <row r="127" spans="1:4" x14ac:dyDescent="0.3">
      <c r="A127" s="71" t="s">
        <v>228</v>
      </c>
      <c r="B127" s="81">
        <v>568.81429682949999</v>
      </c>
      <c r="C127" s="81">
        <v>687.69909038869901</v>
      </c>
      <c r="D127" s="81">
        <v>832.94110728019905</v>
      </c>
    </row>
    <row r="128" spans="1:4" x14ac:dyDescent="0.3">
      <c r="A128" s="71" t="s">
        <v>229</v>
      </c>
      <c r="B128" s="81">
        <v>52.93476156242</v>
      </c>
      <c r="C128" s="81">
        <v>54.038723124839997</v>
      </c>
      <c r="D128" s="81">
        <v>54.038723124839997</v>
      </c>
    </row>
    <row r="129" spans="1:4" x14ac:dyDescent="0.3">
      <c r="A129" s="71" t="s">
        <v>230</v>
      </c>
      <c r="B129" s="81">
        <v>73.745534606609993</v>
      </c>
      <c r="C129" s="81">
        <v>148.88273159833</v>
      </c>
      <c r="D129" s="81">
        <v>209.1143338242</v>
      </c>
    </row>
    <row r="130" spans="1:4" x14ac:dyDescent="0.3">
      <c r="A130" s="71" t="s">
        <v>231</v>
      </c>
      <c r="B130" s="81">
        <v>0.28682838251999998</v>
      </c>
      <c r="C130" s="81">
        <v>0.28685676503999902</v>
      </c>
      <c r="D130" s="81">
        <v>0.28685676503999902</v>
      </c>
    </row>
    <row r="131" spans="1:4" x14ac:dyDescent="0.3">
      <c r="A131" s="71" t="s">
        <v>942</v>
      </c>
      <c r="B131" s="81">
        <v>0</v>
      </c>
      <c r="C131" s="81">
        <v>23.715526112199999</v>
      </c>
      <c r="D131" s="81">
        <v>1312.5768225869999</v>
      </c>
    </row>
    <row r="132" spans="1:4" x14ac:dyDescent="0.3">
      <c r="A132" s="71" t="s">
        <v>232</v>
      </c>
      <c r="B132" s="81">
        <v>1123.7907340100001</v>
      </c>
      <c r="C132" s="81">
        <v>1149.2586084120001</v>
      </c>
      <c r="D132" s="81">
        <v>1149.6118072039999</v>
      </c>
    </row>
    <row r="133" spans="1:4" x14ac:dyDescent="0.3">
      <c r="A133" s="71" t="s">
        <v>943</v>
      </c>
      <c r="B133" s="81">
        <v>0</v>
      </c>
      <c r="C133" s="81">
        <v>0</v>
      </c>
      <c r="D133" s="81">
        <v>0</v>
      </c>
    </row>
    <row r="134" spans="1:4" x14ac:dyDescent="0.3">
      <c r="A134" s="71" t="s">
        <v>585</v>
      </c>
      <c r="B134" s="81">
        <v>0</v>
      </c>
      <c r="C134" s="81">
        <v>0</v>
      </c>
      <c r="D134" s="81">
        <v>0</v>
      </c>
    </row>
    <row r="135" spans="1:4" x14ac:dyDescent="0.3">
      <c r="A135" s="71" t="s">
        <v>233</v>
      </c>
      <c r="B135" s="81">
        <v>39.950302946619999</v>
      </c>
      <c r="C135" s="81">
        <v>40.856968906440002</v>
      </c>
      <c r="D135" s="81">
        <v>40.856968906440002</v>
      </c>
    </row>
    <row r="136" spans="1:4" x14ac:dyDescent="0.3">
      <c r="A136" s="71" t="s">
        <v>234</v>
      </c>
      <c r="B136" s="81">
        <v>6716.5223555140001</v>
      </c>
      <c r="C136" s="81">
        <v>7021.9711310679904</v>
      </c>
      <c r="D136" s="81">
        <v>7209.303075068</v>
      </c>
    </row>
    <row r="137" spans="1:4" x14ac:dyDescent="0.3">
      <c r="A137" s="71" t="s">
        <v>235</v>
      </c>
      <c r="B137" s="81">
        <v>118.7503106299</v>
      </c>
      <c r="C137" s="81">
        <v>176.95659218360001</v>
      </c>
      <c r="D137" s="81">
        <v>188.73089615999999</v>
      </c>
    </row>
    <row r="138" spans="1:4" x14ac:dyDescent="0.3">
      <c r="A138" s="71" t="s">
        <v>236</v>
      </c>
      <c r="B138" s="81">
        <v>541.53929874430003</v>
      </c>
      <c r="C138" s="81">
        <v>697.42916041679996</v>
      </c>
      <c r="D138" s="81">
        <v>795.94307464500002</v>
      </c>
    </row>
    <row r="139" spans="1:4" x14ac:dyDescent="0.3">
      <c r="A139" s="71" t="s">
        <v>237</v>
      </c>
      <c r="B139" s="81">
        <v>227.75815415189999</v>
      </c>
      <c r="C139" s="81">
        <v>246.36754913319999</v>
      </c>
      <c r="D139" s="81">
        <v>306.02535924049999</v>
      </c>
    </row>
    <row r="140" spans="1:4" x14ac:dyDescent="0.3">
      <c r="A140" s="71" t="s">
        <v>238</v>
      </c>
      <c r="B140" s="81">
        <v>12582.471580899901</v>
      </c>
      <c r="C140" s="81">
        <v>12659.295470499999</v>
      </c>
      <c r="D140" s="81">
        <v>12664.701863599999</v>
      </c>
    </row>
    <row r="141" spans="1:4" x14ac:dyDescent="0.3">
      <c r="A141" s="71" t="s">
        <v>239</v>
      </c>
      <c r="B141" s="81">
        <v>584.41178805999903</v>
      </c>
      <c r="C141" s="81">
        <v>1110.3643078499999</v>
      </c>
      <c r="D141" s="81">
        <v>1712.6938091</v>
      </c>
    </row>
    <row r="142" spans="1:4" x14ac:dyDescent="0.3">
      <c r="A142" s="71" t="s">
        <v>240</v>
      </c>
      <c r="B142" s="81">
        <v>2175.2361916119999</v>
      </c>
      <c r="C142" s="81">
        <v>2415.3423106199998</v>
      </c>
      <c r="D142" s="81">
        <v>2622.0429180869901</v>
      </c>
    </row>
    <row r="143" spans="1:4" x14ac:dyDescent="0.3">
      <c r="A143" s="71" t="s">
        <v>241</v>
      </c>
      <c r="B143" s="81">
        <v>999.63688448769994</v>
      </c>
      <c r="C143" s="81">
        <v>1011.8600505572</v>
      </c>
      <c r="D143" s="81">
        <v>1012.8050412803</v>
      </c>
    </row>
    <row r="144" spans="1:4" x14ac:dyDescent="0.3">
      <c r="A144" s="71" t="s">
        <v>242</v>
      </c>
      <c r="B144" s="81">
        <v>29.461261368029898</v>
      </c>
      <c r="C144" s="81">
        <v>44.40953808591</v>
      </c>
      <c r="D144" s="81">
        <v>58.904107098300003</v>
      </c>
    </row>
    <row r="145" spans="1:4" x14ac:dyDescent="0.3">
      <c r="A145" s="71" t="s">
        <v>243</v>
      </c>
      <c r="B145" s="81">
        <v>2.43863787068</v>
      </c>
      <c r="C145" s="81">
        <v>9.8483931950999999</v>
      </c>
      <c r="D145" s="81">
        <v>25.290291948</v>
      </c>
    </row>
    <row r="146" spans="1:4" x14ac:dyDescent="0.3">
      <c r="A146" s="71" t="s">
        <v>586</v>
      </c>
      <c r="B146" s="81">
        <v>61.668178961999999</v>
      </c>
      <c r="C146" s="81">
        <v>80.136735723000001</v>
      </c>
      <c r="D146" s="81">
        <v>77.914698638000004</v>
      </c>
    </row>
    <row r="147" spans="1:4" x14ac:dyDescent="0.3">
      <c r="A147" s="71" t="s">
        <v>244</v>
      </c>
      <c r="B147" s="81">
        <v>45.593898124799999</v>
      </c>
      <c r="C147" s="81">
        <v>53.416521837600001</v>
      </c>
      <c r="D147" s="81">
        <v>55.659664791600001</v>
      </c>
    </row>
    <row r="148" spans="1:4" x14ac:dyDescent="0.3">
      <c r="A148" s="71" t="s">
        <v>245</v>
      </c>
      <c r="B148" s="81">
        <v>313.9443109</v>
      </c>
      <c r="C148" s="81">
        <v>340.53131567000003</v>
      </c>
      <c r="D148" s="81">
        <v>353.40869808000002</v>
      </c>
    </row>
    <row r="149" spans="1:4" x14ac:dyDescent="0.3">
      <c r="A149" s="71" t="s">
        <v>587</v>
      </c>
      <c r="B149" s="81">
        <v>0</v>
      </c>
      <c r="C149" s="81">
        <v>0</v>
      </c>
      <c r="D149" s="81">
        <v>0</v>
      </c>
    </row>
    <row r="150" spans="1:4" x14ac:dyDescent="0.3">
      <c r="A150" s="71" t="s">
        <v>246</v>
      </c>
      <c r="B150" s="81">
        <v>7.1585861171999996</v>
      </c>
      <c r="C150" s="81">
        <v>12.224681369300001</v>
      </c>
      <c r="D150" s="81">
        <v>25.985845332</v>
      </c>
    </row>
    <row r="151" spans="1:4" x14ac:dyDescent="0.3">
      <c r="A151" s="71" t="s">
        <v>588</v>
      </c>
      <c r="B151" s="81">
        <v>87.043498759000002</v>
      </c>
      <c r="C151" s="81">
        <v>89.948082264000007</v>
      </c>
      <c r="D151" s="81">
        <v>89.948082264000007</v>
      </c>
    </row>
    <row r="152" spans="1:4" x14ac:dyDescent="0.3">
      <c r="A152" s="71" t="s">
        <v>247</v>
      </c>
      <c r="B152" s="81">
        <v>0</v>
      </c>
      <c r="C152" s="81">
        <v>0</v>
      </c>
      <c r="D152" s="81">
        <v>0</v>
      </c>
    </row>
    <row r="153" spans="1:4" x14ac:dyDescent="0.3">
      <c r="A153" s="71" t="s">
        <v>589</v>
      </c>
      <c r="B153" s="81">
        <v>0</v>
      </c>
      <c r="C153" s="81">
        <v>0</v>
      </c>
      <c r="D153" s="81">
        <v>0</v>
      </c>
    </row>
    <row r="154" spans="1:4" x14ac:dyDescent="0.3">
      <c r="A154" s="71" t="s">
        <v>590</v>
      </c>
      <c r="B154" s="81">
        <v>0</v>
      </c>
      <c r="C154" s="81">
        <v>0</v>
      </c>
      <c r="D154" s="81">
        <v>0</v>
      </c>
    </row>
    <row r="155" spans="1:4" x14ac:dyDescent="0.3">
      <c r="A155" s="71" t="s">
        <v>591</v>
      </c>
      <c r="B155" s="81">
        <v>0</v>
      </c>
      <c r="C155" s="81">
        <v>0</v>
      </c>
      <c r="D155" s="81">
        <v>0</v>
      </c>
    </row>
    <row r="156" spans="1:4" x14ac:dyDescent="0.3">
      <c r="A156" s="71" t="s">
        <v>248</v>
      </c>
      <c r="B156" s="81">
        <v>12836.209757000001</v>
      </c>
      <c r="C156" s="81">
        <v>14956.559933</v>
      </c>
      <c r="D156" s="81">
        <v>16658.813518999999</v>
      </c>
    </row>
    <row r="157" spans="1:4" x14ac:dyDescent="0.3">
      <c r="A157" s="71" t="s">
        <v>249</v>
      </c>
      <c r="B157" s="81">
        <v>5702.9854240999903</v>
      </c>
      <c r="C157" s="81">
        <v>2826.7448325</v>
      </c>
      <c r="D157" s="81">
        <v>1647.1735822999899</v>
      </c>
    </row>
    <row r="158" spans="1:4" x14ac:dyDescent="0.3">
      <c r="A158" s="71" t="s">
        <v>592</v>
      </c>
      <c r="B158" s="81">
        <v>0</v>
      </c>
      <c r="C158" s="81">
        <v>0</v>
      </c>
      <c r="D158" s="81">
        <v>0</v>
      </c>
    </row>
    <row r="159" spans="1:4" x14ac:dyDescent="0.3">
      <c r="A159" s="71" t="s">
        <v>593</v>
      </c>
      <c r="B159" s="81">
        <v>0</v>
      </c>
      <c r="C159" s="81">
        <v>0</v>
      </c>
      <c r="D159" s="81">
        <v>0</v>
      </c>
    </row>
    <row r="160" spans="1:4" x14ac:dyDescent="0.3">
      <c r="A160" s="71" t="s">
        <v>250</v>
      </c>
      <c r="B160" s="81">
        <v>2171.8314225580998</v>
      </c>
      <c r="C160" s="81">
        <v>2327.9203155062</v>
      </c>
      <c r="D160" s="81">
        <v>2521.7973226262002</v>
      </c>
    </row>
    <row r="161" spans="1:4" x14ac:dyDescent="0.3">
      <c r="A161" s="71" t="s">
        <v>594</v>
      </c>
      <c r="B161" s="81">
        <v>0</v>
      </c>
      <c r="C161" s="81">
        <v>0</v>
      </c>
      <c r="D161" s="81">
        <v>0</v>
      </c>
    </row>
    <row r="162" spans="1:4" x14ac:dyDescent="0.3">
      <c r="A162" s="71" t="s">
        <v>251</v>
      </c>
      <c r="B162" s="81">
        <v>6169.7111613849902</v>
      </c>
      <c r="C162" s="81">
        <v>6554.0857189529997</v>
      </c>
      <c r="D162" s="81">
        <v>6581.5257282639895</v>
      </c>
    </row>
    <row r="163" spans="1:4" x14ac:dyDescent="0.3">
      <c r="A163" s="71" t="s">
        <v>595</v>
      </c>
      <c r="B163" s="81">
        <v>3.75093631079999</v>
      </c>
      <c r="C163" s="81">
        <v>3.7509126215999902</v>
      </c>
      <c r="D163" s="81">
        <v>3.7509126215999902</v>
      </c>
    </row>
    <row r="164" spans="1:4" x14ac:dyDescent="0.3">
      <c r="A164" s="71" t="s">
        <v>252</v>
      </c>
      <c r="B164" s="81">
        <v>8.1553483180999997</v>
      </c>
      <c r="C164" s="81">
        <v>8.9776242516</v>
      </c>
      <c r="D164" s="81">
        <v>8.9776242516</v>
      </c>
    </row>
    <row r="165" spans="1:4" x14ac:dyDescent="0.3">
      <c r="A165" s="71" t="s">
        <v>253</v>
      </c>
      <c r="B165" s="81">
        <v>85.466445846999903</v>
      </c>
      <c r="C165" s="81">
        <v>88.179395915999905</v>
      </c>
      <c r="D165" s="81">
        <v>58.924739250999998</v>
      </c>
    </row>
    <row r="166" spans="1:4" x14ac:dyDescent="0.3">
      <c r="A166" s="71" t="s">
        <v>254</v>
      </c>
      <c r="B166" s="81">
        <v>177.94467245999999</v>
      </c>
      <c r="C166" s="81">
        <v>178.21389216</v>
      </c>
      <c r="D166" s="81">
        <v>168.83732714000001</v>
      </c>
    </row>
    <row r="167" spans="1:4" x14ac:dyDescent="0.3">
      <c r="A167" s="71" t="s">
        <v>596</v>
      </c>
      <c r="B167" s="81">
        <v>0</v>
      </c>
      <c r="C167" s="81">
        <v>0</v>
      </c>
      <c r="D167" s="81">
        <v>0</v>
      </c>
    </row>
    <row r="168" spans="1:4" x14ac:dyDescent="0.3">
      <c r="A168" s="71" t="s">
        <v>255</v>
      </c>
      <c r="B168" s="81">
        <v>0.62422515747999996</v>
      </c>
      <c r="C168" s="81">
        <v>1.04617113996</v>
      </c>
      <c r="D168" s="81">
        <v>1.04617113996</v>
      </c>
    </row>
    <row r="169" spans="1:4" x14ac:dyDescent="0.3">
      <c r="A169" s="71" t="s">
        <v>597</v>
      </c>
      <c r="B169" s="81">
        <v>1.5915516137999901</v>
      </c>
      <c r="C169" s="81">
        <v>1.5019032275999999</v>
      </c>
      <c r="D169" s="81">
        <v>1.5019032275999999</v>
      </c>
    </row>
    <row r="170" spans="1:4" x14ac:dyDescent="0.3">
      <c r="A170" s="71" t="s">
        <v>256</v>
      </c>
      <c r="B170" s="81">
        <v>467.25961223000002</v>
      </c>
      <c r="C170" s="81">
        <v>527.81837853000002</v>
      </c>
      <c r="D170" s="81">
        <v>622.81263337999997</v>
      </c>
    </row>
    <row r="171" spans="1:4" x14ac:dyDescent="0.3">
      <c r="A171" s="71" t="s">
        <v>257</v>
      </c>
      <c r="B171" s="81">
        <v>0</v>
      </c>
      <c r="C171" s="81">
        <v>0</v>
      </c>
      <c r="D171" s="81">
        <v>0</v>
      </c>
    </row>
    <row r="172" spans="1:4" x14ac:dyDescent="0.3">
      <c r="A172" s="71" t="s">
        <v>258</v>
      </c>
      <c r="B172" s="81">
        <v>0.58773965748000001</v>
      </c>
      <c r="C172" s="81">
        <v>0.58771931495999996</v>
      </c>
      <c r="D172" s="81">
        <v>0.58771931495999996</v>
      </c>
    </row>
    <row r="173" spans="1:4" x14ac:dyDescent="0.3">
      <c r="A173" s="71" t="s">
        <v>259</v>
      </c>
      <c r="B173" s="81">
        <v>159.19208445999999</v>
      </c>
      <c r="C173" s="81">
        <v>160.85384266</v>
      </c>
      <c r="D173" s="81">
        <v>167.71029077999901</v>
      </c>
    </row>
    <row r="174" spans="1:4" x14ac:dyDescent="0.3">
      <c r="A174" s="71" t="s">
        <v>598</v>
      </c>
      <c r="B174" s="81">
        <v>0</v>
      </c>
      <c r="C174" s="81">
        <v>0</v>
      </c>
      <c r="D174" s="81">
        <v>0</v>
      </c>
    </row>
    <row r="175" spans="1:4" ht="15" thickBot="1" x14ac:dyDescent="0.35">
      <c r="A175" s="52" t="s">
        <v>260</v>
      </c>
      <c r="B175" s="56">
        <f t="shared" ref="B175:D175" si="0">SUM(B6:B174)</f>
        <v>197991.18251365994</v>
      </c>
      <c r="C175" s="56">
        <f t="shared" si="0"/>
        <v>244167.07822911249</v>
      </c>
      <c r="D175" s="56">
        <f t="shared" si="0"/>
        <v>271097.6398600954</v>
      </c>
    </row>
    <row r="176" spans="1:4" ht="15" thickTop="1" x14ac:dyDescent="0.3">
      <c r="A176" s="11" t="s">
        <v>599</v>
      </c>
      <c r="B176" s="58">
        <f>(B175-'LG&amp;E Provision'!C65)</f>
        <v>762.32675651457976</v>
      </c>
      <c r="C176" s="58">
        <f>(C175-'LG&amp;E Provision'!D65)</f>
        <v>780.22643149911892</v>
      </c>
      <c r="D176" s="58">
        <f>(D175-'LG&amp;E Provision'!E65)</f>
        <v>783.14834524318576</v>
      </c>
    </row>
    <row r="178" spans="1:4" s="1" customFormat="1" x14ac:dyDescent="0.3">
      <c r="A178" s="9" t="s">
        <v>107</v>
      </c>
      <c r="B178" s="12">
        <f t="shared" ref="B178:D178" si="1">SUM(B6:B105)</f>
        <v>140906.06067267834</v>
      </c>
      <c r="C178" s="12">
        <f t="shared" si="1"/>
        <v>185323.69335507817</v>
      </c>
      <c r="D178" s="12">
        <f t="shared" si="1"/>
        <v>208514.75025075098</v>
      </c>
    </row>
    <row r="179" spans="1:4" s="1" customFormat="1" x14ac:dyDescent="0.3">
      <c r="A179" s="9" t="s">
        <v>109</v>
      </c>
      <c r="B179" s="12">
        <f t="shared" ref="B179:D179" si="2">SUM(B106:B152)</f>
        <v>29299.811459883847</v>
      </c>
      <c r="C179" s="12">
        <f t="shared" si="2"/>
        <v>31207.144234253443</v>
      </c>
      <c r="D179" s="12">
        <f t="shared" si="2"/>
        <v>34139.430136047507</v>
      </c>
    </row>
    <row r="180" spans="1:4" s="1" customFormat="1" x14ac:dyDescent="0.3">
      <c r="A180" s="9" t="s">
        <v>153</v>
      </c>
      <c r="B180" s="45">
        <f t="shared" ref="B180:D180" si="3">SUM(B153:B174)</f>
        <v>27785.310381097737</v>
      </c>
      <c r="C180" s="45">
        <f t="shared" si="3"/>
        <v>27636.240639780917</v>
      </c>
      <c r="D180" s="45">
        <f t="shared" si="3"/>
        <v>28443.459473296902</v>
      </c>
    </row>
    <row r="181" spans="1:4" s="1" customFormat="1" x14ac:dyDescent="0.3">
      <c r="A181" s="9"/>
      <c r="B181" s="12">
        <f t="shared" ref="B181:D181" si="4">SUM(B178:B180)</f>
        <v>197991.18251365994</v>
      </c>
      <c r="C181" s="12">
        <f t="shared" si="4"/>
        <v>244167.07822911252</v>
      </c>
      <c r="D181" s="12">
        <f t="shared" si="4"/>
        <v>271097.6398600954</v>
      </c>
    </row>
    <row r="182" spans="1:4" s="1" customFormat="1" x14ac:dyDescent="0.3">
      <c r="A182" s="9"/>
      <c r="B182" s="12">
        <f t="shared" ref="B182:D182" si="5">B181-B175</f>
        <v>0</v>
      </c>
      <c r="C182" s="12">
        <f t="shared" si="5"/>
        <v>0</v>
      </c>
      <c r="D182" s="12">
        <f t="shared" si="5"/>
        <v>0</v>
      </c>
    </row>
    <row r="183" spans="1:4" s="1" customFormat="1" x14ac:dyDescent="0.3">
      <c r="A183" s="9" t="s">
        <v>154</v>
      </c>
      <c r="B183" s="12"/>
      <c r="C183" s="12"/>
      <c r="D183" s="12"/>
    </row>
    <row r="184" spans="1:4" s="1" customFormat="1" x14ac:dyDescent="0.3">
      <c r="A184" s="9"/>
      <c r="B184" s="12"/>
      <c r="C184" s="12"/>
      <c r="D184" s="12"/>
    </row>
    <row r="185" spans="1:4" s="1" customFormat="1" x14ac:dyDescent="0.3">
      <c r="A185" s="9" t="s">
        <v>1029</v>
      </c>
      <c r="B185" s="12">
        <f t="shared" ref="B185:D185" si="6">(-B178-B180*0.7)*1000</f>
        <v>-160355777.93944678</v>
      </c>
      <c r="C185" s="12">
        <f t="shared" si="6"/>
        <v>-204669061.80292481</v>
      </c>
      <c r="D185" s="12">
        <f t="shared" si="6"/>
        <v>-228425171.8820588</v>
      </c>
    </row>
    <row r="186" spans="1:4" s="1" customFormat="1" x14ac:dyDescent="0.3">
      <c r="A186" s="9" t="s">
        <v>1030</v>
      </c>
      <c r="B186" s="45">
        <f t="shared" ref="B186:D186" si="7">(-B179-B180*0.3)*1000</f>
        <v>-37635404.57421317</v>
      </c>
      <c r="C186" s="45">
        <f t="shared" si="7"/>
        <v>-39498016.426187724</v>
      </c>
      <c r="D186" s="45">
        <f t="shared" si="7"/>
        <v>-42672467.978036575</v>
      </c>
    </row>
    <row r="187" spans="1:4" s="1" customFormat="1" x14ac:dyDescent="0.3">
      <c r="A187" s="9"/>
      <c r="B187" s="12">
        <f t="shared" ref="B187:D187" si="8">SUM(B185:B186)</f>
        <v>-197991182.51365995</v>
      </c>
      <c r="C187" s="12">
        <f t="shared" si="8"/>
        <v>-244167078.22911254</v>
      </c>
      <c r="D187" s="12">
        <f t="shared" si="8"/>
        <v>-271097639.86009538</v>
      </c>
    </row>
    <row r="188" spans="1:4" s="1" customFormat="1" x14ac:dyDescent="0.3">
      <c r="A188" s="9"/>
      <c r="B188" s="12"/>
      <c r="C188" s="12"/>
      <c r="D188" s="12"/>
    </row>
    <row r="189" spans="1:4" s="1" customFormat="1" x14ac:dyDescent="0.3">
      <c r="A189" s="9"/>
    </row>
    <row r="190" spans="1:4" s="1" customFormat="1" x14ac:dyDescent="0.3">
      <c r="A190" s="9" t="s">
        <v>157</v>
      </c>
      <c r="B190" s="46">
        <f t="shared" ref="B190:D190" si="9">+B185/B187</f>
        <v>0.80991373405420919</v>
      </c>
      <c r="C190" s="46">
        <f t="shared" si="9"/>
        <v>0.83823365249460446</v>
      </c>
      <c r="D190" s="46">
        <f t="shared" si="9"/>
        <v>0.84259373117354164</v>
      </c>
    </row>
    <row r="191" spans="1:4" s="1" customFormat="1" x14ac:dyDescent="0.3">
      <c r="A191" s="9" t="s">
        <v>158</v>
      </c>
      <c r="B191" s="46">
        <f t="shared" ref="B191:D191" si="10">+B186/B187</f>
        <v>0.19008626594579078</v>
      </c>
      <c r="C191" s="46">
        <f t="shared" si="10"/>
        <v>0.16176634750539556</v>
      </c>
      <c r="D191" s="46">
        <f t="shared" si="10"/>
        <v>0.15740626882645839</v>
      </c>
    </row>
    <row r="192" spans="1:4" x14ac:dyDescent="0.3">
      <c r="A192" s="9"/>
    </row>
    <row r="193" spans="1:1" x14ac:dyDescent="0.3">
      <c r="A193" s="9"/>
    </row>
  </sheetData>
  <pageMargins left="0.7" right="0.7" top="0.75" bottom="0.75" header="0.3" footer="0.3"/>
  <pageSetup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zoomScale="90" zoomScaleNormal="90" workbookViewId="0">
      <pane xSplit="2" ySplit="4" topLeftCell="C5" activePane="bottomRight" state="frozen"/>
      <selection activeCell="A16" sqref="A16"/>
      <selection pane="topRight" activeCell="A16" sqref="A16"/>
      <selection pane="bottomLeft" activeCell="A16" sqref="A16"/>
      <selection pane="bottomRight" activeCell="B3" sqref="B3"/>
    </sheetView>
  </sheetViews>
  <sheetFormatPr defaultColWidth="9.109375" defaultRowHeight="14.4" x14ac:dyDescent="0.3"/>
  <cols>
    <col min="1" max="1" width="1.88671875" style="16" customWidth="1"/>
    <col min="2" max="2" width="40.6640625" style="14" customWidth="1"/>
    <col min="3" max="5" width="16.44140625" style="15" customWidth="1"/>
    <col min="6" max="16384" width="9.109375" style="15"/>
  </cols>
  <sheetData>
    <row r="1" spans="1:5" x14ac:dyDescent="0.3">
      <c r="A1" s="13" t="str">
        <f>+'UIGET-LGE'!B4</f>
        <v>LG&amp;E</v>
      </c>
    </row>
    <row r="4" spans="1:5" ht="16.2" x14ac:dyDescent="0.45">
      <c r="C4" s="17" t="s">
        <v>276</v>
      </c>
      <c r="D4" s="17" t="s">
        <v>277</v>
      </c>
      <c r="E4" s="17" t="s">
        <v>278</v>
      </c>
    </row>
    <row r="5" spans="1:5" s="20" customFormat="1" x14ac:dyDescent="0.3">
      <c r="A5" s="13" t="s">
        <v>279</v>
      </c>
      <c r="B5" s="18"/>
      <c r="C5" s="19">
        <f>+'UIGET-LGE'!D7</f>
        <v>282984.25314502715</v>
      </c>
      <c r="D5" s="19">
        <f>+'UIGET-LGE'!E7</f>
        <v>252285.0394973506</v>
      </c>
      <c r="E5" s="19">
        <f>+'UIGET-LGE'!F7</f>
        <v>257949.43748949561</v>
      </c>
    </row>
    <row r="6" spans="1:5" x14ac:dyDescent="0.3">
      <c r="A6" s="16" t="s">
        <v>280</v>
      </c>
      <c r="C6" s="21"/>
      <c r="D6" s="21"/>
      <c r="E6" s="21"/>
    </row>
    <row r="7" spans="1:5" s="14" customFormat="1" x14ac:dyDescent="0.3">
      <c r="A7" s="16"/>
      <c r="B7" s="14" t="s">
        <v>281</v>
      </c>
      <c r="C7" s="21">
        <f>+'UIGET-LGE'!D27</f>
        <v>400</v>
      </c>
      <c r="D7" s="21">
        <f>+'UIGET-LGE'!E27</f>
        <v>400</v>
      </c>
      <c r="E7" s="21">
        <f>+'UIGET-LGE'!F27</f>
        <v>400</v>
      </c>
    </row>
    <row r="8" spans="1:5" s="14" customFormat="1" x14ac:dyDescent="0.3">
      <c r="A8" s="16"/>
      <c r="B8" s="14" t="s">
        <v>282</v>
      </c>
      <c r="C8" s="22">
        <f>+'UIGET-LGE'!D28</f>
        <v>0</v>
      </c>
      <c r="D8" s="22">
        <f>+'UIGET-LGE'!E28</f>
        <v>0</v>
      </c>
      <c r="E8" s="22">
        <f>+'UIGET-LGE'!F28</f>
        <v>0</v>
      </c>
    </row>
    <row r="9" spans="1:5" s="14" customFormat="1" x14ac:dyDescent="0.3">
      <c r="A9" s="16"/>
      <c r="B9" s="14" t="s">
        <v>641</v>
      </c>
      <c r="C9" s="22">
        <f>'UIGET-LGE'!D29</f>
        <v>395</v>
      </c>
      <c r="D9" s="22">
        <f>'UIGET-LGE'!E29</f>
        <v>0</v>
      </c>
      <c r="E9" s="22">
        <f>'UIGET-LGE'!F29</f>
        <v>0</v>
      </c>
    </row>
    <row r="10" spans="1:5" s="14" customFormat="1" x14ac:dyDescent="0.3">
      <c r="A10" s="16"/>
      <c r="B10" s="14" t="s">
        <v>642</v>
      </c>
      <c r="C10" s="22">
        <f>'UIGET-LGE'!D30</f>
        <v>365</v>
      </c>
      <c r="D10" s="22">
        <f>'UIGET-LGE'!E30</f>
        <v>365</v>
      </c>
      <c r="E10" s="22">
        <f>'UIGET-LGE'!F30</f>
        <v>365</v>
      </c>
    </row>
    <row r="11" spans="1:5" s="14" customFormat="1" x14ac:dyDescent="0.3">
      <c r="A11" s="16"/>
      <c r="B11" s="14" t="s">
        <v>283</v>
      </c>
      <c r="C11" s="22">
        <f>+'UIGET-LGE'!D31</f>
        <v>663.47083000000009</v>
      </c>
      <c r="D11" s="22">
        <f>+'UIGET-LGE'!E31</f>
        <v>730.52700000000004</v>
      </c>
      <c r="E11" s="22">
        <f>+'UIGET-LGE'!F31</f>
        <v>741.50400000000013</v>
      </c>
    </row>
    <row r="12" spans="1:5" s="14" customFormat="1" x14ac:dyDescent="0.3">
      <c r="A12" s="16"/>
      <c r="B12" s="14" t="s">
        <v>284</v>
      </c>
      <c r="C12" s="22">
        <f>+'UIGET-LGE'!D32</f>
        <v>0</v>
      </c>
      <c r="D12" s="22">
        <f>+'UIGET-LGE'!E32</f>
        <v>0</v>
      </c>
      <c r="E12" s="22">
        <f>+'UIGET-LGE'!F32</f>
        <v>0</v>
      </c>
    </row>
    <row r="13" spans="1:5" s="14" customFormat="1" x14ac:dyDescent="0.3">
      <c r="A13" s="16"/>
      <c r="B13" s="14" t="s">
        <v>285</v>
      </c>
      <c r="C13" s="22">
        <v>0</v>
      </c>
      <c r="D13" s="22">
        <v>0</v>
      </c>
      <c r="E13" s="22">
        <v>0</v>
      </c>
    </row>
    <row r="14" spans="1:5" s="24" customFormat="1" x14ac:dyDescent="0.3">
      <c r="A14" s="16"/>
      <c r="B14" s="14" t="s">
        <v>286</v>
      </c>
      <c r="C14" s="23">
        <f>+'UIGET-LGE'!D8</f>
        <v>0</v>
      </c>
      <c r="D14" s="23">
        <f>+'UIGET-LGE'!E8</f>
        <v>0</v>
      </c>
      <c r="E14" s="23">
        <f>+'UIGET-LGE'!F8</f>
        <v>0</v>
      </c>
    </row>
    <row r="15" spans="1:5" s="20" customFormat="1" x14ac:dyDescent="0.3">
      <c r="A15" s="13" t="s">
        <v>287</v>
      </c>
      <c r="B15" s="18"/>
      <c r="C15" s="19">
        <f t="shared" ref="C15:E15" si="0">SUM(C7:C14)</f>
        <v>1823.4708300000002</v>
      </c>
      <c r="D15" s="19">
        <f t="shared" si="0"/>
        <v>1495.527</v>
      </c>
      <c r="E15" s="19">
        <f t="shared" si="0"/>
        <v>1506.5040000000001</v>
      </c>
    </row>
    <row r="16" spans="1:5" x14ac:dyDescent="0.3">
      <c r="A16" s="16" t="s">
        <v>288</v>
      </c>
      <c r="C16" s="21"/>
      <c r="D16" s="21"/>
      <c r="E16" s="21"/>
    </row>
    <row r="17" spans="1:6" s="24" customFormat="1" x14ac:dyDescent="0.3">
      <c r="A17" s="16"/>
      <c r="B17" s="14" t="s">
        <v>289</v>
      </c>
      <c r="C17" s="23">
        <f>+'UIGET-LGE'!D37+'UIGET-LGE'!D38</f>
        <v>0</v>
      </c>
      <c r="D17" s="23">
        <f>+'UIGET-LGE'!E37+'UIGET-LGE'!E38</f>
        <v>0</v>
      </c>
      <c r="E17" s="23">
        <f>+'UIGET-LGE'!F37+'UIGET-LGE'!F38</f>
        <v>0</v>
      </c>
    </row>
    <row r="18" spans="1:6" s="20" customFormat="1" x14ac:dyDescent="0.3">
      <c r="A18" s="13" t="s">
        <v>290</v>
      </c>
      <c r="B18" s="18"/>
      <c r="C18" s="19">
        <f t="shared" ref="C18:E18" si="1">SUM(C17)</f>
        <v>0</v>
      </c>
      <c r="D18" s="19">
        <f t="shared" si="1"/>
        <v>0</v>
      </c>
      <c r="E18" s="19">
        <f t="shared" si="1"/>
        <v>0</v>
      </c>
    </row>
    <row r="19" spans="1:6" x14ac:dyDescent="0.3">
      <c r="A19" s="16" t="s">
        <v>291</v>
      </c>
      <c r="C19" s="21"/>
      <c r="D19" s="21"/>
      <c r="E19" s="21"/>
    </row>
    <row r="20" spans="1:6" x14ac:dyDescent="0.3">
      <c r="B20" s="14" t="s">
        <v>58</v>
      </c>
      <c r="C20" s="21">
        <f>'UIGET-LGE'!K105</f>
        <v>14678.205658143994</v>
      </c>
      <c r="D20" s="21">
        <f>'UIGET-LGE'!L105</f>
        <v>-5213.3140973822492</v>
      </c>
      <c r="E20" s="21">
        <f>'UIGET-LGE'!M105</f>
        <v>-245.30078174002483</v>
      </c>
    </row>
    <row r="21" spans="1:6" x14ac:dyDescent="0.3">
      <c r="B21" s="14" t="s">
        <v>90</v>
      </c>
      <c r="C21" s="21">
        <f>'UIGET-LGE'!K103+'UIGET-LGE'!K104</f>
        <v>682.6932699999993</v>
      </c>
      <c r="D21" s="21">
        <f>'UIGET-LGE'!L103+'UIGET-LGE'!L104</f>
        <v>3118.9923599999988</v>
      </c>
      <c r="E21" s="21">
        <f>'UIGET-LGE'!M103+'UIGET-LGE'!M104</f>
        <v>0</v>
      </c>
    </row>
    <row r="22" spans="1:6" x14ac:dyDescent="0.3">
      <c r="B22" s="14" t="s">
        <v>1028</v>
      </c>
      <c r="C22" s="21">
        <f>-'UIGET-LGE'!K123</f>
        <v>-2390.4720000000002</v>
      </c>
      <c r="D22" s="21">
        <f>-'UIGET-LGE'!L123</f>
        <v>318.72959999999875</v>
      </c>
      <c r="E22" s="21">
        <f>-'UIGET-LGE'!M123</f>
        <v>478.09440000000086</v>
      </c>
    </row>
    <row r="23" spans="1:6" x14ac:dyDescent="0.3">
      <c r="B23" s="14" t="s">
        <v>39</v>
      </c>
      <c r="C23" s="21">
        <f>'UIGET-LGE'!K108</f>
        <v>805.21235999999999</v>
      </c>
      <c r="D23" s="21">
        <f>'UIGET-LGE'!L108</f>
        <v>61.939400000000091</v>
      </c>
      <c r="E23" s="21">
        <f>'UIGET-LGE'!M108</f>
        <v>-309.69707999999991</v>
      </c>
    </row>
    <row r="24" spans="1:6" x14ac:dyDescent="0.3">
      <c r="B24" s="14" t="s">
        <v>88</v>
      </c>
      <c r="C24" s="21">
        <f>'UIGET-LGE'!K120</f>
        <v>-720.42502000000013</v>
      </c>
      <c r="D24" s="21">
        <f>'UIGET-LGE'!L120</f>
        <v>-1186.6750200000001</v>
      </c>
      <c r="E24" s="21">
        <f>'UIGET-LGE'!M120</f>
        <v>0</v>
      </c>
    </row>
    <row r="25" spans="1:6" x14ac:dyDescent="0.3">
      <c r="B25" s="14" t="s">
        <v>292</v>
      </c>
      <c r="C25" s="21"/>
      <c r="D25" s="21"/>
      <c r="E25" s="21"/>
    </row>
    <row r="26" spans="1:6" x14ac:dyDescent="0.3">
      <c r="B26" s="14" t="s">
        <v>293</v>
      </c>
      <c r="C26" s="21"/>
      <c r="D26" s="21"/>
      <c r="E26" s="21"/>
    </row>
    <row r="27" spans="1:6" x14ac:dyDescent="0.3">
      <c r="B27" s="14" t="s">
        <v>37</v>
      </c>
      <c r="C27" s="21">
        <f>'UIGET-LGE'!K101</f>
        <v>2354.0332799999996</v>
      </c>
      <c r="D27" s="21">
        <f>'UIGET-LGE'!L101</f>
        <v>1690.0751723076883</v>
      </c>
      <c r="E27" s="21">
        <f>'UIGET-LGE'!M101</f>
        <v>1358.0961184615317</v>
      </c>
    </row>
    <row r="28" spans="1:6" x14ac:dyDescent="0.3">
      <c r="B28" s="14" t="s">
        <v>77</v>
      </c>
      <c r="C28" s="21">
        <f>'UIGET-LGE'!K99+'UIGET-LGE'!K100</f>
        <v>949.90619479452016</v>
      </c>
      <c r="D28" s="21">
        <f>'UIGET-LGE'!L99+'UIGET-LGE'!L100</f>
        <v>947.60911999999553</v>
      </c>
      <c r="E28" s="21">
        <f>'UIGET-LGE'!M99+'UIGET-LGE'!M100</f>
        <v>949.14048986300804</v>
      </c>
    </row>
    <row r="29" spans="1:6" x14ac:dyDescent="0.3">
      <c r="B29" s="14" t="s">
        <v>294</v>
      </c>
      <c r="C29" s="21">
        <f>'UIGET-LGE'!K98</f>
        <v>2391.4359212903291</v>
      </c>
      <c r="D29" s="21">
        <f>'UIGET-LGE'!L98</f>
        <v>2391.4359645161312</v>
      </c>
      <c r="E29" s="21">
        <f>'UIGET-LGE'!M98</f>
        <v>2397.9878438709711</v>
      </c>
      <c r="F29" s="21"/>
    </row>
    <row r="30" spans="1:6" x14ac:dyDescent="0.3">
      <c r="B30" s="14" t="s">
        <v>295</v>
      </c>
      <c r="C30" s="21">
        <f>'UIGET-LGE'!K121</f>
        <v>-1433.5383235860572</v>
      </c>
      <c r="D30" s="21">
        <f>'UIGET-LGE'!L121</f>
        <v>-1433.3754391788534</v>
      </c>
      <c r="E30" s="21">
        <f>'UIGET-LGE'!M121</f>
        <v>-1437.3024951765838</v>
      </c>
      <c r="F30" s="21"/>
    </row>
    <row r="31" spans="1:6" x14ac:dyDescent="0.3">
      <c r="B31" s="14" t="s">
        <v>296</v>
      </c>
      <c r="C31" s="21"/>
      <c r="D31" s="21"/>
      <c r="E31" s="21"/>
    </row>
    <row r="32" spans="1:6" x14ac:dyDescent="0.3">
      <c r="B32" s="14" t="s">
        <v>49</v>
      </c>
      <c r="C32" s="21">
        <f>'UIGET-LGE'!K107</f>
        <v>0</v>
      </c>
      <c r="D32" s="21">
        <f>'UIGET-LGE'!L107</f>
        <v>97.559999999999945</v>
      </c>
      <c r="E32" s="21">
        <f>'UIGET-LGE'!M107</f>
        <v>56.910000000000011</v>
      </c>
    </row>
    <row r="33" spans="2:5" x14ac:dyDescent="0.3">
      <c r="B33" s="14" t="s">
        <v>1036</v>
      </c>
      <c r="C33" s="21">
        <f>+'UIGET-LGE'!K109</f>
        <v>-3309.3681464818756</v>
      </c>
      <c r="D33" s="21">
        <f>+'UIGET-LGE'!L109</f>
        <v>-7307.2156390384289</v>
      </c>
      <c r="E33" s="21">
        <f>+'UIGET-LGE'!M109</f>
        <v>3052.6214247629632</v>
      </c>
    </row>
    <row r="34" spans="2:5" x14ac:dyDescent="0.3">
      <c r="B34" s="14" t="s">
        <v>622</v>
      </c>
      <c r="C34" s="21">
        <f>'UIGET-LGE'!K112</f>
        <v>0</v>
      </c>
      <c r="D34" s="21">
        <f>'UIGET-LGE'!L112</f>
        <v>0</v>
      </c>
      <c r="E34" s="21">
        <f>'UIGET-LGE'!M112</f>
        <v>0</v>
      </c>
    </row>
    <row r="35" spans="2:5" x14ac:dyDescent="0.3">
      <c r="B35" s="14" t="s">
        <v>623</v>
      </c>
      <c r="C35" s="21">
        <f>'UIGET-LGE'!D74</f>
        <v>0</v>
      </c>
      <c r="D35" s="21">
        <f>'UIGET-LGE'!E74</f>
        <v>0</v>
      </c>
      <c r="E35" s="21">
        <f>'UIGET-LGE'!F74</f>
        <v>0</v>
      </c>
    </row>
    <row r="36" spans="2:5" x14ac:dyDescent="0.3">
      <c r="B36" s="14" t="s">
        <v>624</v>
      </c>
      <c r="C36" s="21">
        <f>'UIGET-LGE'!D51</f>
        <v>0</v>
      </c>
      <c r="D36" s="21">
        <f>'UIGET-LGE'!E51</f>
        <v>0</v>
      </c>
      <c r="E36" s="21">
        <f>'UIGET-LGE'!F51</f>
        <v>0</v>
      </c>
    </row>
    <row r="37" spans="2:5" x14ac:dyDescent="0.3">
      <c r="B37" s="14" t="s">
        <v>297</v>
      </c>
      <c r="C37" s="21">
        <f>'UIGET-LGE'!D52</f>
        <v>0</v>
      </c>
      <c r="D37" s="21">
        <f>'UIGET-LGE'!E52</f>
        <v>0</v>
      </c>
      <c r="E37" s="21">
        <f>'UIGET-LGE'!F52</f>
        <v>0</v>
      </c>
    </row>
    <row r="38" spans="2:5" x14ac:dyDescent="0.3">
      <c r="B38" s="14" t="s">
        <v>625</v>
      </c>
      <c r="C38" s="21">
        <f>'UIGET-LGE'!D54</f>
        <v>2080.0981499999998</v>
      </c>
      <c r="D38" s="21">
        <f>'UIGET-LGE'!E54</f>
        <v>-1188.92859</v>
      </c>
      <c r="E38" s="21">
        <f>'UIGET-LGE'!F54</f>
        <v>3646.15499</v>
      </c>
    </row>
    <row r="39" spans="2:5" x14ac:dyDescent="0.3">
      <c r="B39" s="14" t="s">
        <v>298</v>
      </c>
      <c r="C39" s="21"/>
      <c r="D39" s="21"/>
      <c r="E39" s="21"/>
    </row>
    <row r="40" spans="2:5" x14ac:dyDescent="0.3">
      <c r="B40" s="14" t="s">
        <v>299</v>
      </c>
      <c r="C40" s="21">
        <f>+'UIGET-LGE'!D60</f>
        <v>184.60961999999995</v>
      </c>
      <c r="D40" s="21">
        <f>+'UIGET-LGE'!E60</f>
        <v>184.73615999999993</v>
      </c>
      <c r="E40" s="21">
        <f>+'UIGET-LGE'!F60</f>
        <v>184.73615999999993</v>
      </c>
    </row>
    <row r="41" spans="2:5" x14ac:dyDescent="0.3">
      <c r="B41" s="14" t="s">
        <v>300</v>
      </c>
      <c r="C41" s="21">
        <f>+'UIGET-LGE'!K118</f>
        <v>10.979019494113857</v>
      </c>
      <c r="D41" s="21">
        <f>+'UIGET-LGE'!L118</f>
        <v>-202.1665256208791</v>
      </c>
      <c r="E41" s="21">
        <f>+'UIGET-LGE'!M118</f>
        <v>75.349525392137821</v>
      </c>
    </row>
    <row r="42" spans="2:5" x14ac:dyDescent="0.3">
      <c r="B42" s="14" t="s">
        <v>301</v>
      </c>
      <c r="C42" s="21"/>
      <c r="D42" s="21"/>
      <c r="E42" s="21"/>
    </row>
    <row r="43" spans="2:5" x14ac:dyDescent="0.3">
      <c r="B43" s="14" t="s">
        <v>302</v>
      </c>
      <c r="C43" s="21">
        <f>'UIGET-LGE'!K122</f>
        <v>183.89166999999986</v>
      </c>
      <c r="D43" s="21">
        <f>'UIGET-LGE'!L122</f>
        <v>-173.85833000000036</v>
      </c>
      <c r="E43" s="21">
        <f>'UIGET-LGE'!M122</f>
        <v>-86.929200000000151</v>
      </c>
    </row>
    <row r="44" spans="2:5" x14ac:dyDescent="0.3">
      <c r="B44" s="14" t="s">
        <v>59</v>
      </c>
      <c r="C44" s="21">
        <f>'UIGET-LGE'!K117</f>
        <v>2274.2486289819672</v>
      </c>
      <c r="D44" s="21">
        <f>'UIGET-LGE'!L117</f>
        <v>-1866.7010476055257</v>
      </c>
      <c r="E44" s="21">
        <f>'UIGET-LGE'!M117</f>
        <v>182.12043466697833</v>
      </c>
    </row>
    <row r="45" spans="2:5" x14ac:dyDescent="0.3">
      <c r="B45" s="14" t="s">
        <v>53</v>
      </c>
      <c r="C45" s="21">
        <f>'UIGET-LGE'!K119</f>
        <v>352.66278000000005</v>
      </c>
      <c r="D45" s="21">
        <f>'UIGET-LGE'!L119</f>
        <v>-458.95031999999992</v>
      </c>
      <c r="E45" s="21">
        <f>'UIGET-LGE'!M119</f>
        <v>0</v>
      </c>
    </row>
    <row r="46" spans="2:5" x14ac:dyDescent="0.3">
      <c r="B46" s="14" t="s">
        <v>303</v>
      </c>
      <c r="C46" s="21">
        <f>+'UIGET-LGE'!D66</f>
        <v>3300.5410000000029</v>
      </c>
      <c r="D46" s="21">
        <f>+'UIGET-LGE'!E66</f>
        <v>3020.8980000000047</v>
      </c>
      <c r="E46" s="21">
        <f>+'UIGET-LGE'!F66</f>
        <v>2985.0149999999994</v>
      </c>
    </row>
    <row r="47" spans="2:5" x14ac:dyDescent="0.3">
      <c r="B47" s="14" t="s">
        <v>304</v>
      </c>
      <c r="C47" s="21">
        <f>+'UIGET-LGE'!D67</f>
        <v>-6343.5469999999996</v>
      </c>
      <c r="D47" s="21">
        <f>+'UIGET-LGE'!E67</f>
        <v>-6520.9920000000002</v>
      </c>
      <c r="E47" s="21">
        <f>+'UIGET-LGE'!F67</f>
        <v>-6606.7560000000003</v>
      </c>
    </row>
    <row r="48" spans="2:5" x14ac:dyDescent="0.3">
      <c r="B48" s="14" t="s">
        <v>626</v>
      </c>
      <c r="C48" s="21">
        <f>'UIGET-LGE'!D59</f>
        <v>0</v>
      </c>
      <c r="D48" s="21">
        <f>'UIGET-LGE'!E59</f>
        <v>0</v>
      </c>
      <c r="E48" s="21">
        <f>'UIGET-LGE'!F59</f>
        <v>0</v>
      </c>
    </row>
    <row r="49" spans="1:5" x14ac:dyDescent="0.3">
      <c r="B49" s="14" t="s">
        <v>41</v>
      </c>
      <c r="C49" s="21">
        <f>'UIGET-LGE'!K110</f>
        <v>1018.9735900000032</v>
      </c>
      <c r="D49" s="21">
        <f>'UIGET-LGE'!L110</f>
        <v>1025.4975800000011</v>
      </c>
      <c r="E49" s="21">
        <f>'UIGET-LGE'!M110</f>
        <v>777.46574813281222</v>
      </c>
    </row>
    <row r="50" spans="1:5" x14ac:dyDescent="0.3">
      <c r="B50" s="14" t="s">
        <v>70</v>
      </c>
      <c r="C50" s="21">
        <f>'UIGET-LGE'!K116</f>
        <v>0</v>
      </c>
      <c r="D50" s="21">
        <f>'UIGET-LGE'!L116</f>
        <v>0</v>
      </c>
      <c r="E50" s="21">
        <f>'UIGET-LGE'!M116</f>
        <v>0</v>
      </c>
    </row>
    <row r="51" spans="1:5" x14ac:dyDescent="0.3">
      <c r="B51" s="14" t="s">
        <v>305</v>
      </c>
      <c r="C51" s="21">
        <f>'UIGET-LGE'!D64</f>
        <v>1824.3745031782664</v>
      </c>
      <c r="D51" s="21">
        <f>'UIGET-LGE'!E64</f>
        <v>-772.49917622444718</v>
      </c>
      <c r="E51" s="21">
        <f>'UIGET-LGE'!F64</f>
        <v>-1939.6975663233416</v>
      </c>
    </row>
    <row r="52" spans="1:5" x14ac:dyDescent="0.3">
      <c r="B52" s="14" t="s">
        <v>306</v>
      </c>
      <c r="C52" s="21">
        <f>'UIGET-LGE'!D65</f>
        <v>-650.36300000000006</v>
      </c>
      <c r="D52" s="21">
        <f>'UIGET-LGE'!E65</f>
        <v>0</v>
      </c>
      <c r="E52" s="21">
        <f>'UIGET-LGE'!F65</f>
        <v>0</v>
      </c>
    </row>
    <row r="53" spans="1:5" x14ac:dyDescent="0.3">
      <c r="B53" s="14" t="s">
        <v>307</v>
      </c>
      <c r="C53" s="21"/>
      <c r="D53" s="21"/>
      <c r="E53" s="21"/>
    </row>
    <row r="54" spans="1:5" x14ac:dyDescent="0.3">
      <c r="B54" s="14" t="s">
        <v>75</v>
      </c>
      <c r="C54" s="21">
        <f>'UIGET-LGE'!K106</f>
        <v>-797.08550702477578</v>
      </c>
      <c r="D54" s="21">
        <f>'UIGET-LGE'!L106</f>
        <v>477.85002311774224</v>
      </c>
      <c r="E54" s="21">
        <f>'UIGET-LGE'!M106</f>
        <v>1039.6955673887242</v>
      </c>
    </row>
    <row r="55" spans="1:5" x14ac:dyDescent="0.3">
      <c r="B55" s="14" t="s">
        <v>627</v>
      </c>
      <c r="C55" s="21">
        <f>'UIGET-LGE'!K114</f>
        <v>1635.4897876539364</v>
      </c>
      <c r="D55" s="21">
        <f>'UIGET-LGE'!L114</f>
        <v>-3755.5052716831324</v>
      </c>
      <c r="E55" s="21">
        <f>'UIGET-LGE'!M114</f>
        <v>0</v>
      </c>
    </row>
    <row r="56" spans="1:5" x14ac:dyDescent="0.3">
      <c r="B56" s="14" t="s">
        <v>638</v>
      </c>
      <c r="C56" s="21">
        <f>'UIGET-LGE'!K115</f>
        <v>4830.4985565282841</v>
      </c>
      <c r="D56" s="21">
        <f>'UIGET-LGE'!L115</f>
        <v>-2710.4830792596867</v>
      </c>
      <c r="E56" s="21">
        <f>'UIGET-LGE'!M115</f>
        <v>0</v>
      </c>
    </row>
    <row r="57" spans="1:5" s="24" customFormat="1" x14ac:dyDescent="0.3">
      <c r="A57" s="16"/>
      <c r="B57" s="14" t="s">
        <v>38</v>
      </c>
      <c r="C57" s="23">
        <f>+'UIGET-LGE'!K102</f>
        <v>4383.8390319828595</v>
      </c>
      <c r="D57" s="23">
        <f>+'UIGET-LGE'!L102</f>
        <v>3147.3718162859977</v>
      </c>
      <c r="E57" s="23">
        <f>+'UIGET-LGE'!M102</f>
        <v>2529.138212446137</v>
      </c>
    </row>
    <row r="58" spans="1:5" s="20" customFormat="1" x14ac:dyDescent="0.3">
      <c r="A58" s="13" t="s">
        <v>308</v>
      </c>
      <c r="B58" s="18"/>
      <c r="C58" s="19">
        <f t="shared" ref="C58:E58" si="2">SUM(C20:C57)</f>
        <v>28296.894024955567</v>
      </c>
      <c r="D58" s="19">
        <f t="shared" si="2"/>
        <v>-16307.969339765645</v>
      </c>
      <c r="E58" s="19">
        <f t="shared" si="2"/>
        <v>9086.8427917453118</v>
      </c>
    </row>
    <row r="59" spans="1:5" x14ac:dyDescent="0.3">
      <c r="A59" s="16" t="s">
        <v>309</v>
      </c>
      <c r="C59" s="21"/>
      <c r="D59" s="21"/>
      <c r="E59" s="21"/>
    </row>
    <row r="60" spans="1:5" x14ac:dyDescent="0.3">
      <c r="B60" s="14" t="s">
        <v>80</v>
      </c>
      <c r="C60" s="21">
        <f>+'UIGET-LGE'!D70</f>
        <v>-30000</v>
      </c>
      <c r="D60" s="21">
        <f>+'UIGET-LGE'!E70</f>
        <v>-30000</v>
      </c>
      <c r="E60" s="21">
        <f>+'UIGET-LGE'!F70</f>
        <v>-30000</v>
      </c>
    </row>
    <row r="61" spans="1:5" x14ac:dyDescent="0.3">
      <c r="B61" s="14" t="s">
        <v>310</v>
      </c>
      <c r="C61" s="21">
        <f>'UIGET-LGE'!D49</f>
        <v>-9790.9032000000007</v>
      </c>
      <c r="D61" s="21">
        <f>'UIGET-LGE'!E49</f>
        <v>-19479.580280000006</v>
      </c>
      <c r="E61" s="21">
        <f>'UIGET-LGE'!F49</f>
        <v>-18545.830539999999</v>
      </c>
    </row>
    <row r="62" spans="1:5" x14ac:dyDescent="0.3">
      <c r="B62" s="14" t="s">
        <v>311</v>
      </c>
      <c r="C62" s="21">
        <f>'UIGET-LGE'!D50</f>
        <v>564.49215995498923</v>
      </c>
      <c r="D62" s="21">
        <f>'UIGET-LGE'!E50</f>
        <v>1258.3654962820624</v>
      </c>
      <c r="E62" s="21">
        <f>'UIGET-LGE'!F50</f>
        <v>2138.0525083557732</v>
      </c>
    </row>
    <row r="63" spans="1:5" x14ac:dyDescent="0.3">
      <c r="B63" s="14" t="s">
        <v>43</v>
      </c>
      <c r="C63" s="21">
        <f>-'UIGET-LGE'!D126+'UIGET-LGE'!D15</f>
        <v>-105308.98939999999</v>
      </c>
      <c r="D63" s="21">
        <f>-'UIGET-LGE'!E126+'UIGET-LGE'!E15</f>
        <v>-119506.89126999999</v>
      </c>
      <c r="E63" s="21">
        <f>-'UIGET-LGE'!F126+'UIGET-LGE'!F15</f>
        <v>5133.8400499999998</v>
      </c>
    </row>
    <row r="64" spans="1:5" x14ac:dyDescent="0.3">
      <c r="B64" s="14" t="s">
        <v>312</v>
      </c>
      <c r="C64" s="21">
        <f>+'UIGET-LGE'!D56</f>
        <v>0</v>
      </c>
      <c r="D64" s="21">
        <f>+'UIGET-LGE'!E56</f>
        <v>0</v>
      </c>
      <c r="E64" s="21">
        <f>+'UIGET-LGE'!F56</f>
        <v>0</v>
      </c>
    </row>
    <row r="65" spans="1:5" x14ac:dyDescent="0.3">
      <c r="B65" s="14" t="s">
        <v>44</v>
      </c>
      <c r="C65" s="21">
        <f>+'UIGET-LGE'!D62+'UIGET-LGE'!D53</f>
        <v>197228.85575714536</v>
      </c>
      <c r="D65" s="21">
        <f>+'UIGET-LGE'!E62+'UIGET-LGE'!E53</f>
        <v>243386.85179761337</v>
      </c>
      <c r="E65" s="21">
        <f>+'UIGET-LGE'!F62+'UIGET-LGE'!F53</f>
        <v>270314.49151485221</v>
      </c>
    </row>
    <row r="66" spans="1:5" x14ac:dyDescent="0.3">
      <c r="B66" s="14" t="s">
        <v>313</v>
      </c>
      <c r="C66" s="21">
        <v>0</v>
      </c>
      <c r="D66" s="21">
        <v>0</v>
      </c>
      <c r="E66" s="21">
        <v>0</v>
      </c>
    </row>
    <row r="67" spans="1:5" x14ac:dyDescent="0.3">
      <c r="B67" s="14" t="s">
        <v>47</v>
      </c>
      <c r="C67" s="21">
        <f>+'UIGET-LGE'!D55</f>
        <v>12000</v>
      </c>
      <c r="D67" s="21">
        <f>+'UIGET-LGE'!E55</f>
        <v>12000</v>
      </c>
      <c r="E67" s="21">
        <f>+'UIGET-LGE'!F55</f>
        <v>12000</v>
      </c>
    </row>
    <row r="68" spans="1:5" x14ac:dyDescent="0.3">
      <c r="B68" s="14" t="s">
        <v>51</v>
      </c>
      <c r="C68" s="21">
        <f>+'UIGET-LGE'!D63</f>
        <v>-34869.76341</v>
      </c>
      <c r="D68" s="21">
        <f>+'UIGET-LGE'!E63</f>
        <v>-38070.538139999997</v>
      </c>
      <c r="E68" s="21">
        <f>+'UIGET-LGE'!F63</f>
        <v>-25348.468230000002</v>
      </c>
    </row>
    <row r="69" spans="1:5" x14ac:dyDescent="0.3">
      <c r="B69" s="14" t="s">
        <v>66</v>
      </c>
      <c r="C69" s="21">
        <f>+'UIGET-LGE'!D71</f>
        <v>10553.570937335417</v>
      </c>
      <c r="D69" s="21">
        <f>+'UIGET-LGE'!E71</f>
        <v>8873.1668456374973</v>
      </c>
      <c r="E69" s="21">
        <f>+'UIGET-LGE'!F71</f>
        <v>6448.5232152104145</v>
      </c>
    </row>
    <row r="70" spans="1:5" s="24" customFormat="1" x14ac:dyDescent="0.3">
      <c r="A70" s="16"/>
      <c r="B70" s="14" t="s">
        <v>78</v>
      </c>
      <c r="C70" s="23">
        <f>-'UIGET-LGE'!D127</f>
        <v>-232519.88607269039</v>
      </c>
      <c r="D70" s="23">
        <f>-'UIGET-LGE'!E127</f>
        <v>-262193.71243931778</v>
      </c>
      <c r="E70" s="23">
        <f>-'UIGET-LGE'!F127</f>
        <v>-273070.29019087908</v>
      </c>
    </row>
    <row r="71" spans="1:5" s="20" customFormat="1" x14ac:dyDescent="0.3">
      <c r="A71" s="13" t="s">
        <v>314</v>
      </c>
      <c r="B71" s="18"/>
      <c r="C71" s="19">
        <f t="shared" ref="C71:E71" si="3">SUM(C60:C70)</f>
        <v>-192142.62322825461</v>
      </c>
      <c r="D71" s="19">
        <f t="shared" si="3"/>
        <v>-203732.33798978484</v>
      </c>
      <c r="E71" s="19">
        <f t="shared" si="3"/>
        <v>-50929.681672460691</v>
      </c>
    </row>
    <row r="72" spans="1:5" s="20" customFormat="1" x14ac:dyDescent="0.3">
      <c r="A72" s="13"/>
      <c r="B72" s="18"/>
      <c r="C72" s="19"/>
      <c r="D72" s="19"/>
      <c r="E72" s="19"/>
    </row>
    <row r="73" spans="1:5" s="20" customFormat="1" x14ac:dyDescent="0.3">
      <c r="A73" s="13" t="s">
        <v>315</v>
      </c>
      <c r="B73" s="18"/>
      <c r="C73" s="19">
        <f t="shared" ref="C73:E73" si="4">SUM(C5,C15,C18,C58,C71)</f>
        <v>120961.99477172812</v>
      </c>
      <c r="D73" s="19">
        <f t="shared" si="4"/>
        <v>33740.259167800134</v>
      </c>
      <c r="E73" s="19">
        <f t="shared" si="4"/>
        <v>217613.1026087802</v>
      </c>
    </row>
    <row r="74" spans="1:5" s="24" customFormat="1" x14ac:dyDescent="0.3">
      <c r="A74" s="16" t="s">
        <v>316</v>
      </c>
      <c r="B74" s="14"/>
      <c r="C74" s="23">
        <f t="shared" ref="C74:E74" si="5">-C98</f>
        <v>-4218.4036410043509</v>
      </c>
      <c r="D74" s="23">
        <f t="shared" si="5"/>
        <v>-712.01562029255433</v>
      </c>
      <c r="E74" s="23">
        <f t="shared" si="5"/>
        <v>-4421.4923489275043</v>
      </c>
    </row>
    <row r="75" spans="1:5" s="20" customFormat="1" x14ac:dyDescent="0.3">
      <c r="A75" s="13" t="s">
        <v>317</v>
      </c>
      <c r="B75" s="18"/>
      <c r="C75" s="19">
        <f t="shared" ref="C75:E75" si="6">SUM(C73:C74)</f>
        <v>116743.59113072377</v>
      </c>
      <c r="D75" s="19">
        <f t="shared" si="6"/>
        <v>33028.243547507576</v>
      </c>
      <c r="E75" s="19">
        <f t="shared" si="6"/>
        <v>213191.61025985269</v>
      </c>
    </row>
    <row r="76" spans="1:5" s="25" customFormat="1" x14ac:dyDescent="0.3">
      <c r="A76" s="13"/>
      <c r="B76" s="14" t="s">
        <v>318</v>
      </c>
      <c r="C76" s="23">
        <f>+'UIGET-LGE'!D9+'UIGET-LGE'!D10</f>
        <v>-116743.59113065855</v>
      </c>
      <c r="D76" s="74">
        <f>+'UIGET-LGE'!E9+'UIGET-LGE'!E10</f>
        <v>-33028.243551554595</v>
      </c>
      <c r="E76" s="74">
        <f>+'UIGET-LGE'!F9+'UIGET-LGE'!F10</f>
        <v>-4595.2619999999997</v>
      </c>
    </row>
    <row r="77" spans="1:5" s="20" customFormat="1" x14ac:dyDescent="0.3">
      <c r="A77" s="13" t="s">
        <v>319</v>
      </c>
      <c r="B77" s="18"/>
      <c r="C77" s="19">
        <f t="shared" ref="C77:E77" si="7">SUM(C75:C76)</f>
        <v>6.522168405354023E-8</v>
      </c>
      <c r="D77" s="19">
        <f t="shared" si="7"/>
        <v>-4.0470185922458768E-6</v>
      </c>
      <c r="E77" s="19">
        <f t="shared" si="7"/>
        <v>208596.3482598527</v>
      </c>
    </row>
    <row r="78" spans="1:5" s="24" customFormat="1" x14ac:dyDescent="0.3">
      <c r="A78" s="16" t="s">
        <v>320</v>
      </c>
      <c r="B78" s="14"/>
      <c r="C78" s="26">
        <v>0.21</v>
      </c>
      <c r="D78" s="26">
        <v>0.21</v>
      </c>
      <c r="E78" s="26">
        <v>0.21</v>
      </c>
    </row>
    <row r="79" spans="1:5" s="20" customFormat="1" x14ac:dyDescent="0.3">
      <c r="A79" s="13" t="s">
        <v>327</v>
      </c>
      <c r="B79" s="18"/>
      <c r="C79" s="19">
        <f t="shared" ref="C79:E79" si="8">+C77*C78</f>
        <v>1.3696553651243447E-8</v>
      </c>
      <c r="D79" s="19">
        <f t="shared" si="8"/>
        <v>-8.4987390437163412E-7</v>
      </c>
      <c r="E79" s="19">
        <f t="shared" si="8"/>
        <v>43805.233134569069</v>
      </c>
    </row>
    <row r="80" spans="1:5" s="20" customFormat="1" x14ac:dyDescent="0.3">
      <c r="A80" s="16" t="s">
        <v>628</v>
      </c>
      <c r="B80" s="18"/>
      <c r="C80" s="21">
        <f>-'UIGET-LGE'!D11</f>
        <v>0</v>
      </c>
      <c r="D80" s="75">
        <f>-'UIGET-LGE'!E11</f>
        <v>0</v>
      </c>
      <c r="E80" s="21">
        <f>-'UIGET-LGE'!F11</f>
        <v>-2951</v>
      </c>
    </row>
    <row r="81" spans="1:5" s="20" customFormat="1" x14ac:dyDescent="0.3">
      <c r="A81" s="16" t="s">
        <v>603</v>
      </c>
      <c r="B81" s="18"/>
      <c r="C81" s="23">
        <f>'UIGET-LGE'!D12</f>
        <v>0</v>
      </c>
      <c r="D81" s="74">
        <f>'UIGET-LGE'!E12</f>
        <v>0</v>
      </c>
      <c r="E81" s="23">
        <f>'UIGET-LGE'!F12</f>
        <v>-4550.4059999999999</v>
      </c>
    </row>
    <row r="82" spans="1:5" x14ac:dyDescent="0.3">
      <c r="A82" s="13" t="s">
        <v>321</v>
      </c>
      <c r="C82" s="19">
        <f t="shared" ref="C82:E82" si="9">SUM(C79:C81)</f>
        <v>1.3696553651243447E-8</v>
      </c>
      <c r="D82" s="19">
        <f t="shared" si="9"/>
        <v>-8.4987390437163412E-7</v>
      </c>
      <c r="E82" s="19">
        <f t="shared" si="9"/>
        <v>36303.827134569066</v>
      </c>
    </row>
    <row r="83" spans="1:5" x14ac:dyDescent="0.3">
      <c r="C83" s="21"/>
      <c r="D83" s="21"/>
      <c r="E83" s="21"/>
    </row>
    <row r="84" spans="1:5" s="20" customFormat="1" x14ac:dyDescent="0.3">
      <c r="A84" s="13" t="s">
        <v>317</v>
      </c>
      <c r="B84" s="18"/>
      <c r="C84" s="19">
        <f t="shared" ref="C84:E84" si="10">+C73</f>
        <v>120961.99477172812</v>
      </c>
      <c r="D84" s="19">
        <f t="shared" si="10"/>
        <v>33740.259167800134</v>
      </c>
      <c r="E84" s="19">
        <f t="shared" si="10"/>
        <v>217613.1026087802</v>
      </c>
    </row>
    <row r="85" spans="1:5" x14ac:dyDescent="0.3">
      <c r="A85" s="16" t="s">
        <v>322</v>
      </c>
      <c r="C85" s="21"/>
      <c r="D85" s="21"/>
      <c r="E85" s="21"/>
    </row>
    <row r="86" spans="1:5" x14ac:dyDescent="0.3">
      <c r="B86" s="14" t="s">
        <v>286</v>
      </c>
      <c r="C86" s="21">
        <f t="shared" ref="C86:E86" si="11">-C14</f>
        <v>0</v>
      </c>
      <c r="D86" s="21">
        <f t="shared" si="11"/>
        <v>0</v>
      </c>
      <c r="E86" s="21">
        <f t="shared" si="11"/>
        <v>0</v>
      </c>
    </row>
    <row r="87" spans="1:5" x14ac:dyDescent="0.3">
      <c r="B87" s="14" t="s">
        <v>323</v>
      </c>
      <c r="C87" s="21">
        <f>+'UIGET-LGE'!D134</f>
        <v>0</v>
      </c>
      <c r="D87" s="21">
        <f>+'UIGET-LGE'!E134</f>
        <v>0</v>
      </c>
      <c r="E87" s="21">
        <f>+'UIGET-LGE'!F134</f>
        <v>0</v>
      </c>
    </row>
    <row r="88" spans="1:5" x14ac:dyDescent="0.3">
      <c r="B88" s="14" t="s">
        <v>43</v>
      </c>
      <c r="C88" s="21">
        <f t="shared" ref="C88:E88" si="12">-C63</f>
        <v>105308.98939999999</v>
      </c>
      <c r="D88" s="21">
        <f t="shared" si="12"/>
        <v>119506.89126999999</v>
      </c>
      <c r="E88" s="21">
        <f t="shared" si="12"/>
        <v>-5133.8400499999998</v>
      </c>
    </row>
    <row r="89" spans="1:5" x14ac:dyDescent="0.3">
      <c r="B89" s="14" t="s">
        <v>78</v>
      </c>
      <c r="C89" s="21">
        <f t="shared" ref="C89:E89" si="13">-C70</f>
        <v>232519.88607269039</v>
      </c>
      <c r="D89" s="21">
        <f>-D70</f>
        <v>262193.71243931778</v>
      </c>
      <c r="E89" s="21">
        <f t="shared" si="13"/>
        <v>273070.29019087908</v>
      </c>
    </row>
    <row r="90" spans="1:5" s="24" customFormat="1" x14ac:dyDescent="0.3">
      <c r="A90" s="16"/>
      <c r="B90" s="14" t="s">
        <v>79</v>
      </c>
      <c r="C90" s="23">
        <f>-'UIGET-LGE'!D128-'UIGET-LGE'!D129-'UIGET-LGE'!D130</f>
        <v>-366822.79742433148</v>
      </c>
      <c r="D90" s="23">
        <f>-'UIGET-LGE'!E128-'UIGET-LGE'!E129-'UIGET-LGE'!E130</f>
        <v>-393600.55047126679</v>
      </c>
      <c r="E90" s="23">
        <f>-'UIGET-LGE'!F128-'UIGET-LGE'!F129-'UIGET-LGE'!F130</f>
        <v>-389519.70577110921</v>
      </c>
    </row>
    <row r="91" spans="1:5" x14ac:dyDescent="0.3">
      <c r="A91" s="13" t="s">
        <v>324</v>
      </c>
      <c r="C91" s="21">
        <f t="shared" ref="C91:E91" si="14">SUM(C86:C90)</f>
        <v>-28993.921951641096</v>
      </c>
      <c r="D91" s="21">
        <f t="shared" si="14"/>
        <v>-11899.946761949046</v>
      </c>
      <c r="E91" s="21">
        <f t="shared" si="14"/>
        <v>-121583.25563023012</v>
      </c>
    </row>
    <row r="92" spans="1:5" x14ac:dyDescent="0.3">
      <c r="C92" s="21"/>
      <c r="D92" s="21"/>
      <c r="E92" s="21"/>
    </row>
    <row r="93" spans="1:5" s="20" customFormat="1" x14ac:dyDescent="0.3">
      <c r="A93" s="13" t="s">
        <v>325</v>
      </c>
      <c r="B93" s="18"/>
      <c r="C93" s="19">
        <f t="shared" ref="C93:E93" si="15">+C84+C91</f>
        <v>91968.072820087022</v>
      </c>
      <c r="D93" s="19">
        <f t="shared" si="15"/>
        <v>21840.312405851088</v>
      </c>
      <c r="E93" s="19">
        <f t="shared" si="15"/>
        <v>96029.846978550078</v>
      </c>
    </row>
    <row r="94" spans="1:5" s="20" customFormat="1" x14ac:dyDescent="0.3">
      <c r="A94" s="13"/>
      <c r="B94" s="18" t="s">
        <v>326</v>
      </c>
      <c r="C94" s="19"/>
      <c r="D94" s="19"/>
      <c r="E94" s="19"/>
    </row>
    <row r="95" spans="1:5" s="24" customFormat="1" x14ac:dyDescent="0.3">
      <c r="A95" s="16" t="s">
        <v>320</v>
      </c>
      <c r="B95" s="14"/>
      <c r="C95" s="26">
        <v>0.05</v>
      </c>
      <c r="D95" s="26">
        <v>0.05</v>
      </c>
      <c r="E95" s="26">
        <v>0.05</v>
      </c>
    </row>
    <row r="96" spans="1:5" s="20" customFormat="1" x14ac:dyDescent="0.3">
      <c r="A96" s="13" t="s">
        <v>327</v>
      </c>
      <c r="B96" s="18"/>
      <c r="C96" s="19">
        <f t="shared" ref="C96:E96" si="16">+C93*C95</f>
        <v>4598.4036410043509</v>
      </c>
      <c r="D96" s="19">
        <f t="shared" si="16"/>
        <v>1092.0156202925543</v>
      </c>
      <c r="E96" s="19">
        <f t="shared" si="16"/>
        <v>4801.4923489275043</v>
      </c>
    </row>
    <row r="97" spans="1:5" s="24" customFormat="1" x14ac:dyDescent="0.3">
      <c r="A97" s="16" t="s">
        <v>328</v>
      </c>
      <c r="B97" s="14"/>
      <c r="C97" s="23">
        <f>+'UIGET-LGE'!D135</f>
        <v>-380</v>
      </c>
      <c r="D97" s="23">
        <f>+'UIGET-LGE'!E135</f>
        <v>-380</v>
      </c>
      <c r="E97" s="23">
        <f>+'UIGET-LGE'!F135</f>
        <v>-380</v>
      </c>
    </row>
    <row r="98" spans="1:5" s="20" customFormat="1" x14ac:dyDescent="0.3">
      <c r="A98" s="13" t="s">
        <v>329</v>
      </c>
      <c r="B98" s="18"/>
      <c r="C98" s="19">
        <f t="shared" ref="C98:E98" si="17">SUM(C96:C97)</f>
        <v>4218.4036410043509</v>
      </c>
      <c r="D98" s="19">
        <f t="shared" si="17"/>
        <v>712.01562029255433</v>
      </c>
      <c r="E98" s="19">
        <f t="shared" si="17"/>
        <v>4421.4923489275043</v>
      </c>
    </row>
    <row r="99" spans="1:5" x14ac:dyDescent="0.3">
      <c r="C99" s="27"/>
      <c r="D99" s="27"/>
      <c r="E99" s="27"/>
    </row>
    <row r="100" spans="1:5" customFormat="1" x14ac:dyDescent="0.3">
      <c r="A100" s="13" t="s">
        <v>330</v>
      </c>
      <c r="B100" s="14"/>
      <c r="C100" s="21"/>
      <c r="D100" s="21"/>
      <c r="E100" s="21"/>
    </row>
    <row r="101" spans="1:5" customFormat="1" x14ac:dyDescent="0.3">
      <c r="A101" s="16" t="s">
        <v>331</v>
      </c>
      <c r="B101" s="14"/>
      <c r="C101" s="21">
        <f t="shared" ref="C101:E101" si="18">-(+C58+C71+C76)</f>
        <v>280589.32033395756</v>
      </c>
      <c r="D101" s="21">
        <f t="shared" si="18"/>
        <v>253068.55088110507</v>
      </c>
      <c r="E101" s="21">
        <f t="shared" si="18"/>
        <v>46438.100880715385</v>
      </c>
    </row>
    <row r="102" spans="1:5" customFormat="1" x14ac:dyDescent="0.3">
      <c r="A102" s="16" t="s">
        <v>332</v>
      </c>
      <c r="B102" s="14"/>
      <c r="C102" s="23">
        <f t="shared" ref="C102:E102" si="19">-C121</f>
        <v>-9641.9825577470056</v>
      </c>
      <c r="D102" s="23">
        <f t="shared" si="19"/>
        <v>-11597.012704574976</v>
      </c>
      <c r="E102" s="23">
        <f t="shared" si="19"/>
        <v>-8171.3047255472766</v>
      </c>
    </row>
    <row r="103" spans="1:5" customFormat="1" x14ac:dyDescent="0.3">
      <c r="A103" s="16" t="s">
        <v>333</v>
      </c>
      <c r="B103" s="14"/>
      <c r="C103" s="22">
        <f t="shared" ref="C103:E103" si="20">SUM(C101:C102)</f>
        <v>270947.33777621057</v>
      </c>
      <c r="D103" s="22">
        <f t="shared" si="20"/>
        <v>241471.5381765301</v>
      </c>
      <c r="E103" s="22">
        <f t="shared" si="20"/>
        <v>38266.796155168107</v>
      </c>
    </row>
    <row r="104" spans="1:5" customFormat="1" x14ac:dyDescent="0.3">
      <c r="A104" s="16" t="s">
        <v>334</v>
      </c>
      <c r="B104" s="14"/>
      <c r="C104" s="26">
        <v>0.21</v>
      </c>
      <c r="D104" s="26">
        <v>0.21</v>
      </c>
      <c r="E104" s="26">
        <v>0.21</v>
      </c>
    </row>
    <row r="105" spans="1:5" customFormat="1" x14ac:dyDescent="0.3">
      <c r="A105" s="16" t="s">
        <v>333</v>
      </c>
      <c r="B105" s="14"/>
      <c r="C105" s="22">
        <f t="shared" ref="C105:E105" si="21">C103*C104</f>
        <v>56898.940933004218</v>
      </c>
      <c r="D105" s="22">
        <f t="shared" si="21"/>
        <v>50709.023017071318</v>
      </c>
      <c r="E105" s="22">
        <f t="shared" si="21"/>
        <v>8036.0271925853021</v>
      </c>
    </row>
    <row r="106" spans="1:5" customFormat="1" x14ac:dyDescent="0.3">
      <c r="A106" s="16" t="s">
        <v>335</v>
      </c>
      <c r="B106" s="14"/>
      <c r="C106" s="21"/>
      <c r="D106" s="21"/>
      <c r="E106" s="21"/>
    </row>
    <row r="107" spans="1:5" customFormat="1" x14ac:dyDescent="0.3">
      <c r="A107" s="16" t="s">
        <v>336</v>
      </c>
      <c r="B107" s="14"/>
      <c r="C107" s="21">
        <v>0</v>
      </c>
      <c r="D107" s="21">
        <v>0</v>
      </c>
      <c r="E107" s="21">
        <v>0</v>
      </c>
    </row>
    <row r="108" spans="1:5" customFormat="1" x14ac:dyDescent="0.3">
      <c r="A108" s="16" t="s">
        <v>337</v>
      </c>
      <c r="B108" s="14"/>
      <c r="C108" s="21">
        <f>+'UIGET-LGE'!D140</f>
        <v>-820</v>
      </c>
      <c r="D108" s="21">
        <f>+'UIGET-LGE'!E140</f>
        <v>-820</v>
      </c>
      <c r="E108" s="21">
        <f>+'UIGET-LGE'!F140</f>
        <v>3730.4059999999999</v>
      </c>
    </row>
    <row r="109" spans="1:5" customFormat="1" x14ac:dyDescent="0.3">
      <c r="A109" s="16" t="s">
        <v>338</v>
      </c>
      <c r="B109" s="14"/>
      <c r="C109" s="21">
        <v>0</v>
      </c>
      <c r="D109" s="21">
        <v>0</v>
      </c>
      <c r="E109" s="21">
        <v>0</v>
      </c>
    </row>
    <row r="110" spans="1:5" s="33" customFormat="1" x14ac:dyDescent="0.3">
      <c r="A110" s="16" t="s">
        <v>629</v>
      </c>
      <c r="B110" s="14"/>
      <c r="C110" s="21">
        <f>'UIGET-LGE'!D11</f>
        <v>0</v>
      </c>
      <c r="D110" s="21">
        <f>'UIGET-LGE'!E11</f>
        <v>0</v>
      </c>
      <c r="E110" s="21">
        <f>'UIGET-LGE'!F11</f>
        <v>2951</v>
      </c>
    </row>
    <row r="111" spans="1:5" customFormat="1" x14ac:dyDescent="0.3">
      <c r="A111" s="16" t="s">
        <v>339</v>
      </c>
      <c r="B111" s="14"/>
      <c r="C111" s="21">
        <f>+'UIGET-LGE'!D141</f>
        <v>-7438.1994196105834</v>
      </c>
      <c r="D111" s="21">
        <f>+'UIGET-LGE'!E141</f>
        <v>-9967.9447966139287</v>
      </c>
      <c r="E111" s="21">
        <f>+'UIGET-LGE'!F141</f>
        <v>-10762.97328142231</v>
      </c>
    </row>
    <row r="112" spans="1:5" customFormat="1" x14ac:dyDescent="0.3">
      <c r="A112" s="16" t="s">
        <v>340</v>
      </c>
      <c r="B112" s="14"/>
      <c r="C112" s="21">
        <f>+'UIGET-LGE'!D142</f>
        <v>119.81811518706166</v>
      </c>
      <c r="D112" s="21">
        <f>+'UIGET-LGE'!E142</f>
        <v>119.81811518706166</v>
      </c>
      <c r="E112" s="21">
        <f>+'UIGET-LGE'!F142</f>
        <v>119.81811518706166</v>
      </c>
    </row>
    <row r="113" spans="1:5" customFormat="1" x14ac:dyDescent="0.3">
      <c r="A113" s="16" t="s">
        <v>97</v>
      </c>
      <c r="B113" s="14"/>
      <c r="C113" s="23">
        <f>+'UIGET-LGE'!D143+'UIGET-LGE'!D144</f>
        <v>-1127.7106926301908</v>
      </c>
      <c r="D113" s="23">
        <f>+'UIGET-LGE'!E143+'UIGET-LGE'!E144</f>
        <v>-1032.1106926301918</v>
      </c>
      <c r="E113" s="23">
        <f>+'UIGET-LGE'!F143+'UIGET-LGE'!F144</f>
        <v>-962.10069263019136</v>
      </c>
    </row>
    <row r="114" spans="1:5" customFormat="1" x14ac:dyDescent="0.3">
      <c r="A114" s="16" t="s">
        <v>341</v>
      </c>
      <c r="B114" s="14"/>
      <c r="C114" s="28">
        <f t="shared" ref="C114:E114" si="22">SUM(C106:C113)</f>
        <v>-9266.0919970537143</v>
      </c>
      <c r="D114" s="28">
        <f t="shared" si="22"/>
        <v>-11700.237374057058</v>
      </c>
      <c r="E114" s="28">
        <f t="shared" si="22"/>
        <v>-4923.8498588654393</v>
      </c>
    </row>
    <row r="115" spans="1:5" customFormat="1" x14ac:dyDescent="0.3">
      <c r="A115" s="13" t="s">
        <v>342</v>
      </c>
      <c r="B115" s="14"/>
      <c r="C115" s="19">
        <f t="shared" ref="C115:E115" si="23">C105+C114</f>
        <v>47632.848935950504</v>
      </c>
      <c r="D115" s="19">
        <f t="shared" si="23"/>
        <v>39008.785643014256</v>
      </c>
      <c r="E115" s="19">
        <f t="shared" si="23"/>
        <v>3112.1773337198629</v>
      </c>
    </row>
    <row r="116" spans="1:5" customFormat="1" x14ac:dyDescent="0.3">
      <c r="A116" s="16"/>
      <c r="B116" s="14"/>
      <c r="C116" s="21"/>
      <c r="D116" s="21"/>
      <c r="E116" s="21"/>
    </row>
    <row r="117" spans="1:5" customFormat="1" x14ac:dyDescent="0.3">
      <c r="A117" s="16" t="s">
        <v>343</v>
      </c>
      <c r="B117" s="14"/>
      <c r="C117" s="21">
        <f t="shared" ref="C117:E117" si="24">+C101-SUM(C88:C90)-C94+C76</f>
        <v>192839.6511549401</v>
      </c>
      <c r="D117" s="21">
        <f t="shared" si="24"/>
        <v>231940.25409149952</v>
      </c>
      <c r="E117" s="21">
        <f t="shared" si="24"/>
        <v>163426.09451094552</v>
      </c>
    </row>
    <row r="118" spans="1:5" customFormat="1" x14ac:dyDescent="0.3">
      <c r="A118" s="16" t="s">
        <v>344</v>
      </c>
      <c r="B118" s="14"/>
      <c r="C118" s="29">
        <v>1</v>
      </c>
      <c r="D118" s="29">
        <v>1</v>
      </c>
      <c r="E118" s="29">
        <v>1</v>
      </c>
    </row>
    <row r="119" spans="1:5" customFormat="1" x14ac:dyDescent="0.3">
      <c r="A119" s="16" t="s">
        <v>345</v>
      </c>
      <c r="B119" s="14"/>
      <c r="C119" s="22">
        <f t="shared" ref="C119:E119" si="25">C117*C118</f>
        <v>192839.6511549401</v>
      </c>
      <c r="D119" s="22">
        <f t="shared" si="25"/>
        <v>231940.25409149952</v>
      </c>
      <c r="E119" s="22">
        <f t="shared" si="25"/>
        <v>163426.09451094552</v>
      </c>
    </row>
    <row r="120" spans="1:5" customFormat="1" x14ac:dyDescent="0.3">
      <c r="A120" s="16" t="s">
        <v>346</v>
      </c>
      <c r="B120" s="14"/>
      <c r="C120" s="26">
        <v>0.05</v>
      </c>
      <c r="D120" s="26">
        <v>0.05</v>
      </c>
      <c r="E120" s="26">
        <v>0.05</v>
      </c>
    </row>
    <row r="121" spans="1:5" customFormat="1" x14ac:dyDescent="0.3">
      <c r="A121" s="16" t="s">
        <v>333</v>
      </c>
      <c r="B121" s="14"/>
      <c r="C121" s="22">
        <f t="shared" ref="C121:E121" si="26">C119*C120</f>
        <v>9641.9825577470056</v>
      </c>
      <c r="D121" s="22">
        <f t="shared" si="26"/>
        <v>11597.012704574976</v>
      </c>
      <c r="E121" s="22">
        <f t="shared" si="26"/>
        <v>8171.3047255472766</v>
      </c>
    </row>
    <row r="122" spans="1:5" customFormat="1" x14ac:dyDescent="0.3">
      <c r="A122" s="16" t="s">
        <v>347</v>
      </c>
      <c r="B122" s="14"/>
      <c r="C122" s="22"/>
      <c r="D122" s="22"/>
      <c r="E122" s="22"/>
    </row>
    <row r="123" spans="1:5" customFormat="1" x14ac:dyDescent="0.3">
      <c r="A123" s="16" t="s">
        <v>336</v>
      </c>
      <c r="B123" s="14"/>
      <c r="C123" s="21">
        <v>0</v>
      </c>
      <c r="D123" s="21">
        <v>0</v>
      </c>
      <c r="E123" s="21">
        <v>0</v>
      </c>
    </row>
    <row r="124" spans="1:5" s="33" customFormat="1" x14ac:dyDescent="0.3">
      <c r="A124" s="16" t="s">
        <v>621</v>
      </c>
      <c r="B124" s="14"/>
      <c r="C124" s="21">
        <f>'UIGET-LGE'!D146</f>
        <v>0</v>
      </c>
      <c r="D124" s="21">
        <f>'UIGET-LGE'!E146</f>
        <v>0</v>
      </c>
      <c r="E124" s="21">
        <f>'UIGET-LGE'!F146</f>
        <v>0</v>
      </c>
    </row>
    <row r="125" spans="1:5" customFormat="1" x14ac:dyDescent="0.3">
      <c r="A125" s="16" t="s">
        <v>339</v>
      </c>
      <c r="B125" s="14"/>
      <c r="C125" s="21">
        <f>+'UIGET-LGE'!D145</f>
        <v>-896.60898924050798</v>
      </c>
      <c r="D125" s="21">
        <f>+'UIGET-LGE'!E145</f>
        <v>-1166.632870886076</v>
      </c>
      <c r="E125" s="21">
        <f>+'UIGET-LGE'!F145</f>
        <v>-1102.9478696202559</v>
      </c>
    </row>
    <row r="126" spans="1:5" customFormat="1" x14ac:dyDescent="0.3">
      <c r="A126" s="16" t="s">
        <v>340</v>
      </c>
      <c r="B126" s="14"/>
      <c r="C126" s="23">
        <f>+'UIGET-LGE'!D147</f>
        <v>25.812921099514195</v>
      </c>
      <c r="D126" s="23">
        <f>+'UIGET-LGE'!E147</f>
        <v>25.812921099514195</v>
      </c>
      <c r="E126" s="23">
        <f>+'UIGET-LGE'!F147</f>
        <v>25.812921099514195</v>
      </c>
    </row>
    <row r="127" spans="1:5" customFormat="1" x14ac:dyDescent="0.3">
      <c r="A127" s="16" t="s">
        <v>348</v>
      </c>
      <c r="B127" s="14"/>
      <c r="C127" s="28">
        <f t="shared" ref="C127:E127" si="27">SUM(C122:C126)</f>
        <v>-870.79606814099384</v>
      </c>
      <c r="D127" s="28">
        <f t="shared" si="27"/>
        <v>-1140.8199497865619</v>
      </c>
      <c r="E127" s="28">
        <f t="shared" si="27"/>
        <v>-1077.1349485207418</v>
      </c>
    </row>
    <row r="128" spans="1:5" customFormat="1" x14ac:dyDescent="0.3">
      <c r="A128" s="13" t="s">
        <v>349</v>
      </c>
      <c r="B128" s="14"/>
      <c r="C128" s="30">
        <f t="shared" ref="C128:E128" si="28">C121+C127</f>
        <v>8771.1864896060124</v>
      </c>
      <c r="D128" s="30">
        <f t="shared" si="28"/>
        <v>10456.192754788413</v>
      </c>
      <c r="E128" s="30">
        <f t="shared" si="28"/>
        <v>7094.1697770265346</v>
      </c>
    </row>
    <row r="129" spans="1:5" customFormat="1" x14ac:dyDescent="0.3">
      <c r="A129" s="16"/>
      <c r="B129" s="14"/>
      <c r="C129" s="21"/>
      <c r="D129" s="21"/>
      <c r="E129" s="21"/>
    </row>
    <row r="130" spans="1:5" customFormat="1" x14ac:dyDescent="0.3">
      <c r="A130" s="13" t="s">
        <v>265</v>
      </c>
      <c r="B130" s="14"/>
      <c r="C130" s="21"/>
      <c r="D130" s="21"/>
      <c r="E130" s="21"/>
    </row>
    <row r="131" spans="1:5" customFormat="1" x14ac:dyDescent="0.3">
      <c r="A131" s="16" t="s">
        <v>350</v>
      </c>
      <c r="B131" s="14"/>
      <c r="C131" s="21">
        <f t="shared" ref="C131:E131" si="29">+C5</f>
        <v>282984.25314502715</v>
      </c>
      <c r="D131" s="21">
        <f t="shared" si="29"/>
        <v>252285.0394973506</v>
      </c>
      <c r="E131" s="21">
        <f t="shared" si="29"/>
        <v>257949.43748949561</v>
      </c>
    </row>
    <row r="132" spans="1:5" customFormat="1" x14ac:dyDescent="0.3">
      <c r="A132" s="16"/>
      <c r="B132" s="14"/>
      <c r="C132" s="21"/>
      <c r="D132" s="21"/>
      <c r="E132" s="21"/>
    </row>
    <row r="133" spans="1:5" customFormat="1" x14ac:dyDescent="0.3">
      <c r="A133" s="16" t="s">
        <v>351</v>
      </c>
      <c r="B133" s="14"/>
      <c r="C133" s="21">
        <f t="shared" ref="C133:E133" si="30">+C82</f>
        <v>1.3696553651243447E-8</v>
      </c>
      <c r="D133" s="21">
        <f t="shared" si="30"/>
        <v>-8.4987390437163412E-7</v>
      </c>
      <c r="E133" s="21">
        <f t="shared" si="30"/>
        <v>36303.827134569066</v>
      </c>
    </row>
    <row r="134" spans="1:5" customFormat="1" x14ac:dyDescent="0.3">
      <c r="A134" s="16" t="s">
        <v>352</v>
      </c>
      <c r="B134" s="14"/>
      <c r="C134" s="21">
        <f t="shared" ref="C134:E134" si="31">+C98</f>
        <v>4218.4036410043509</v>
      </c>
      <c r="D134" s="21">
        <f t="shared" si="31"/>
        <v>712.01562029255433</v>
      </c>
      <c r="E134" s="21">
        <f t="shared" si="31"/>
        <v>4421.4923489275043</v>
      </c>
    </row>
    <row r="135" spans="1:5" customFormat="1" x14ac:dyDescent="0.3">
      <c r="A135" s="16" t="s">
        <v>353</v>
      </c>
      <c r="B135" s="14"/>
      <c r="C135" s="21">
        <f t="shared" ref="C135:E135" si="32">+C115-C137</f>
        <v>48760.559628580697</v>
      </c>
      <c r="D135" s="21">
        <f t="shared" si="32"/>
        <v>40040.896335644451</v>
      </c>
      <c r="E135" s="21">
        <f t="shared" si="32"/>
        <v>4074.2780263500545</v>
      </c>
    </row>
    <row r="136" spans="1:5" customFormat="1" x14ac:dyDescent="0.3">
      <c r="A136" s="16" t="s">
        <v>354</v>
      </c>
      <c r="B136" s="14"/>
      <c r="C136" s="21">
        <f t="shared" ref="C136:E136" si="33">+C128</f>
        <v>8771.1864896060124</v>
      </c>
      <c r="D136" s="21">
        <f t="shared" si="33"/>
        <v>10456.192754788413</v>
      </c>
      <c r="E136" s="21">
        <f t="shared" si="33"/>
        <v>7094.1697770265346</v>
      </c>
    </row>
    <row r="137" spans="1:5" customFormat="1" x14ac:dyDescent="0.3">
      <c r="A137" s="16" t="s">
        <v>355</v>
      </c>
      <c r="B137" s="14"/>
      <c r="C137" s="23">
        <f t="shared" ref="C137:E137" si="34">C113</f>
        <v>-1127.7106926301908</v>
      </c>
      <c r="D137" s="23">
        <f t="shared" si="34"/>
        <v>-1032.1106926301918</v>
      </c>
      <c r="E137" s="23">
        <f t="shared" si="34"/>
        <v>-962.10069263019136</v>
      </c>
    </row>
    <row r="138" spans="1:5" customFormat="1" x14ac:dyDescent="0.3">
      <c r="A138" s="13" t="s">
        <v>356</v>
      </c>
      <c r="B138" s="18"/>
      <c r="C138" s="19">
        <f t="shared" ref="C138:E138" si="35">SUM(C133:C137)</f>
        <v>60622.439066574567</v>
      </c>
      <c r="D138" s="19">
        <f t="shared" si="35"/>
        <v>50176.99401724535</v>
      </c>
      <c r="E138" s="19">
        <f t="shared" si="35"/>
        <v>50931.666594242968</v>
      </c>
    </row>
    <row r="139" spans="1:5" customFormat="1" x14ac:dyDescent="0.3">
      <c r="A139" s="16"/>
      <c r="B139" s="14"/>
      <c r="C139" s="21"/>
      <c r="D139" s="21"/>
      <c r="E139" s="21"/>
    </row>
    <row r="140" spans="1:5" customFormat="1" x14ac:dyDescent="0.3">
      <c r="A140" s="16" t="s">
        <v>357</v>
      </c>
      <c r="B140" s="14"/>
      <c r="C140" s="21">
        <f t="shared" ref="C140:E140" si="36">C131-C138</f>
        <v>222361.81407845259</v>
      </c>
      <c r="D140" s="21">
        <f t="shared" si="36"/>
        <v>202108.04548010527</v>
      </c>
      <c r="E140" s="21">
        <f t="shared" si="36"/>
        <v>207017.77089525264</v>
      </c>
    </row>
    <row r="141" spans="1:5" customFormat="1" x14ac:dyDescent="0.3">
      <c r="A141" s="16"/>
      <c r="B141" s="14"/>
      <c r="C141" s="15"/>
      <c r="D141" s="15"/>
      <c r="E141" s="15"/>
    </row>
    <row r="142" spans="1:5" customFormat="1" x14ac:dyDescent="0.3">
      <c r="A142" s="13" t="s">
        <v>358</v>
      </c>
      <c r="B142" s="18"/>
      <c r="C142" s="31">
        <f t="shared" ref="C142:E142" si="37">C138/C131</f>
        <v>0.21422548566865329</v>
      </c>
      <c r="D142" s="31">
        <f t="shared" si="37"/>
        <v>0.19889008923088478</v>
      </c>
      <c r="E142" s="31">
        <f t="shared" si="37"/>
        <v>0.19744825609986857</v>
      </c>
    </row>
    <row r="143" spans="1:5" customFormat="1" x14ac:dyDescent="0.3">
      <c r="A143" s="16"/>
      <c r="B143" s="14"/>
      <c r="C143" s="15"/>
      <c r="D143" s="15"/>
      <c r="E143" s="15"/>
    </row>
    <row r="144" spans="1:5" customFormat="1" x14ac:dyDescent="0.3">
      <c r="A144" s="16"/>
      <c r="B144" s="14"/>
      <c r="C144" s="15"/>
      <c r="D144" s="15"/>
      <c r="E144" s="15"/>
    </row>
    <row r="145" spans="1:5" customFormat="1" x14ac:dyDescent="0.3">
      <c r="A145" s="16"/>
      <c r="B145" s="14"/>
      <c r="C145" s="15"/>
      <c r="D145" s="15"/>
      <c r="E145" s="15"/>
    </row>
    <row r="146" spans="1:5" customFormat="1" x14ac:dyDescent="0.3">
      <c r="A146" s="16" t="s">
        <v>359</v>
      </c>
      <c r="B146" s="14"/>
      <c r="C146" s="15"/>
      <c r="D146" s="15"/>
      <c r="E146" s="15"/>
    </row>
    <row r="147" spans="1:5" customFormat="1" x14ac:dyDescent="0.3">
      <c r="A147" s="16"/>
      <c r="B147" s="14"/>
      <c r="C147" s="15"/>
      <c r="D147" s="15"/>
      <c r="E147" s="15"/>
    </row>
    <row r="148" spans="1:5" customFormat="1" x14ac:dyDescent="0.3">
      <c r="A148" s="16"/>
      <c r="B148" s="14" t="s">
        <v>360</v>
      </c>
      <c r="C148" s="21">
        <f>+'UIGET-LGE'!D14</f>
        <v>1.353873813059181E-8</v>
      </c>
      <c r="D148" s="21">
        <f>+'UIGET-LGE'!E14</f>
        <v>-8.3685245044762269E-7</v>
      </c>
      <c r="E148" s="21">
        <f>+'UIGET-LGE'!F14</f>
        <v>36303.82713455327</v>
      </c>
    </row>
    <row r="149" spans="1:5" customFormat="1" x14ac:dyDescent="0.3">
      <c r="A149" s="16"/>
      <c r="B149" s="14"/>
      <c r="C149" s="21">
        <f t="shared" ref="C149:E149" si="38">+C148-C82</f>
        <v>-1.5781552065163725E-10</v>
      </c>
      <c r="D149" s="21">
        <f t="shared" si="38"/>
        <v>1.3021453924011431E-8</v>
      </c>
      <c r="E149" s="21">
        <f t="shared" si="38"/>
        <v>-1.5796103980392218E-8</v>
      </c>
    </row>
    <row r="150" spans="1:5" customFormat="1" x14ac:dyDescent="0.3">
      <c r="A150" s="16"/>
      <c r="B150" s="14"/>
      <c r="C150" s="21"/>
      <c r="D150" s="21"/>
      <c r="E150" s="21"/>
    </row>
    <row r="151" spans="1:5" customFormat="1" x14ac:dyDescent="0.3">
      <c r="A151" s="16"/>
      <c r="B151" s="14" t="s">
        <v>361</v>
      </c>
      <c r="C151" s="21">
        <f>+'UIGET-LGE'!D13</f>
        <v>-4218.4036410037997</v>
      </c>
      <c r="D151" s="21">
        <f>+'UIGET-LGE'!E13</f>
        <v>-712.01562030107016</v>
      </c>
      <c r="E151" s="21">
        <f>+'UIGET-LGE'!F13</f>
        <v>-4421.4923489107186</v>
      </c>
    </row>
    <row r="152" spans="1:5" customFormat="1" x14ac:dyDescent="0.3">
      <c r="A152" s="16"/>
      <c r="B152" s="14"/>
      <c r="C152" s="21">
        <f t="shared" ref="C152:E152" si="39">+C151+C98</f>
        <v>5.5115378927439451E-10</v>
      </c>
      <c r="D152" s="21">
        <f>+D151+D98</f>
        <v>-8.5158262663753703E-9</v>
      </c>
      <c r="E152" s="21">
        <f t="shared" si="39"/>
        <v>1.6785634215921164E-8</v>
      </c>
    </row>
    <row r="153" spans="1:5" customFormat="1" x14ac:dyDescent="0.3">
      <c r="A153" s="16"/>
      <c r="B153" s="14"/>
      <c r="C153" s="21"/>
      <c r="D153" s="21"/>
      <c r="E153" s="21"/>
    </row>
    <row r="154" spans="1:5" customFormat="1" x14ac:dyDescent="0.3">
      <c r="A154" s="16"/>
      <c r="B154" s="14" t="s">
        <v>362</v>
      </c>
      <c r="C154" s="21">
        <f t="shared" ref="C154:E154" si="40">+C170</f>
        <v>60127.544813187</v>
      </c>
      <c r="D154" s="21">
        <f t="shared" si="40"/>
        <v>50177.018591380503</v>
      </c>
      <c r="E154" s="21">
        <f t="shared" si="40"/>
        <v>50931.703324827096</v>
      </c>
    </row>
    <row r="155" spans="1:5" customFormat="1" x14ac:dyDescent="0.3">
      <c r="A155" s="16"/>
      <c r="B155" s="14"/>
      <c r="C155" s="21">
        <f t="shared" ref="C155:E155" si="41">+C154-C138</f>
        <v>-494.89425338756701</v>
      </c>
      <c r="D155" s="21">
        <f>+D154-D138</f>
        <v>2.4574135153670795E-2</v>
      </c>
      <c r="E155" s="21">
        <f t="shared" si="41"/>
        <v>3.6730584128235932E-2</v>
      </c>
    </row>
    <row r="156" spans="1:5" customFormat="1" x14ac:dyDescent="0.3">
      <c r="A156" s="16"/>
      <c r="B156" s="14"/>
      <c r="C156" s="15"/>
      <c r="D156" s="15"/>
      <c r="E156" s="15"/>
    </row>
    <row r="157" spans="1:5" customFormat="1" x14ac:dyDescent="0.3">
      <c r="A157" s="16"/>
      <c r="B157" s="14"/>
      <c r="C157" s="15"/>
      <c r="D157" s="15"/>
      <c r="E157" s="15"/>
    </row>
    <row r="158" spans="1:5" customFormat="1" x14ac:dyDescent="0.3">
      <c r="A158" s="16"/>
      <c r="B158" s="14"/>
      <c r="C158" s="15"/>
      <c r="D158" s="15"/>
      <c r="E158" s="15"/>
    </row>
    <row r="159" spans="1:5" customFormat="1" x14ac:dyDescent="0.3">
      <c r="A159" s="16"/>
      <c r="B159" s="14"/>
      <c r="C159" s="15"/>
      <c r="D159" s="15"/>
      <c r="E159" s="15"/>
    </row>
    <row r="160" spans="1:5" customFormat="1" x14ac:dyDescent="0.3">
      <c r="A160" s="16"/>
      <c r="B160" s="14"/>
      <c r="C160" s="15"/>
      <c r="D160" s="15"/>
      <c r="E160" s="15"/>
    </row>
    <row r="161" spans="1:5" customFormat="1" x14ac:dyDescent="0.3">
      <c r="A161" s="32" t="s">
        <v>363</v>
      </c>
      <c r="B161" s="14"/>
      <c r="C161" s="15"/>
      <c r="D161" s="15"/>
      <c r="E161" s="15"/>
    </row>
    <row r="162" spans="1:5" customFormat="1" x14ac:dyDescent="0.3">
      <c r="A162" s="16"/>
      <c r="B162" s="14"/>
      <c r="C162" s="15"/>
      <c r="D162" s="15"/>
      <c r="E162" s="15"/>
    </row>
    <row r="163" spans="1:5" customFormat="1" x14ac:dyDescent="0.3">
      <c r="A163" s="16"/>
      <c r="B163" s="14" t="s">
        <v>364</v>
      </c>
      <c r="C163" s="79">
        <v>282984.25314501498</v>
      </c>
      <c r="D163" s="79">
        <v>252285.13799082299</v>
      </c>
      <c r="E163" s="79">
        <v>257949.584706703</v>
      </c>
    </row>
    <row r="164" spans="1:5" customFormat="1" x14ac:dyDescent="0.3">
      <c r="A164" s="16"/>
      <c r="B164" s="14" t="s">
        <v>365</v>
      </c>
      <c r="C164" s="77"/>
      <c r="D164" s="77"/>
      <c r="E164" s="77"/>
    </row>
    <row r="165" spans="1:5" customFormat="1" x14ac:dyDescent="0.3">
      <c r="A165" s="16"/>
      <c r="B165" s="14" t="s">
        <v>366</v>
      </c>
      <c r="C165" s="77"/>
      <c r="D165" s="77"/>
      <c r="E165" s="77"/>
    </row>
    <row r="166" spans="1:5" customFormat="1" x14ac:dyDescent="0.3">
      <c r="A166" s="16"/>
      <c r="B166" s="14" t="s">
        <v>367</v>
      </c>
      <c r="C166" s="78">
        <v>-4466.56020766439</v>
      </c>
      <c r="D166" s="78">
        <v>-1032.1106932683199</v>
      </c>
      <c r="E166" s="78">
        <v>35341.775138432698</v>
      </c>
    </row>
    <row r="167" spans="1:5" customFormat="1" x14ac:dyDescent="0.3">
      <c r="A167" s="16"/>
      <c r="B167" s="14" t="s">
        <v>368</v>
      </c>
      <c r="C167" s="78">
        <v>5057.1853928772798</v>
      </c>
      <c r="D167" s="78">
        <v>712.02053398155795</v>
      </c>
      <c r="E167" s="78">
        <v>4421.4997114712496</v>
      </c>
    </row>
    <row r="168" spans="1:5" customFormat="1" x14ac:dyDescent="0.3">
      <c r="A168" s="16"/>
      <c r="B168" s="14" t="s">
        <v>369</v>
      </c>
      <c r="C168" s="78">
        <v>0</v>
      </c>
      <c r="D168" s="78">
        <v>0</v>
      </c>
      <c r="E168" s="78">
        <v>0</v>
      </c>
    </row>
    <row r="169" spans="1:5" customFormat="1" ht="15" thickBot="1" x14ac:dyDescent="0.35">
      <c r="A169" s="16" t="s">
        <v>370</v>
      </c>
      <c r="B169" s="14" t="s">
        <v>370</v>
      </c>
      <c r="C169" s="80">
        <v>59536.919627974101</v>
      </c>
      <c r="D169" s="80">
        <v>50497.108750667299</v>
      </c>
      <c r="E169" s="80">
        <v>11168.428474923099</v>
      </c>
    </row>
    <row r="170" spans="1:5" customFormat="1" x14ac:dyDescent="0.3">
      <c r="A170" s="16"/>
      <c r="B170" s="14" t="s">
        <v>371</v>
      </c>
      <c r="C170" s="79">
        <v>60127.544813187</v>
      </c>
      <c r="D170" s="79">
        <v>50177.018591380503</v>
      </c>
      <c r="E170" s="79">
        <v>50931.703324827096</v>
      </c>
    </row>
    <row r="171" spans="1:5" customFormat="1" x14ac:dyDescent="0.3">
      <c r="A171" s="16"/>
      <c r="B171" s="14"/>
      <c r="C171" s="15"/>
      <c r="D171" s="15"/>
      <c r="E171" s="15"/>
    </row>
    <row r="172" spans="1:5" x14ac:dyDescent="0.3">
      <c r="A172" s="15"/>
      <c r="C172" s="3"/>
      <c r="D172" s="3"/>
      <c r="E172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>
      <selection activeCell="B3" sqref="B3"/>
    </sheetView>
  </sheetViews>
  <sheetFormatPr defaultRowHeight="14.4" x14ac:dyDescent="0.3"/>
  <cols>
    <col min="1" max="1" width="16.5546875" style="10" customWidth="1"/>
    <col min="2" max="2" width="65.33203125" style="10" customWidth="1"/>
    <col min="3" max="3" width="19.109375" style="10" customWidth="1"/>
    <col min="4" max="9" width="12.5546875" style="10" bestFit="1" customWidth="1"/>
    <col min="10" max="10" width="8.88671875" style="10"/>
    <col min="11" max="11" width="10.6640625" style="10" bestFit="1" customWidth="1"/>
    <col min="12" max="13" width="9.6640625" style="10" bestFit="1" customWidth="1"/>
    <col min="14" max="14" width="10.6640625" style="10" bestFit="1" customWidth="1"/>
    <col min="15" max="16" width="9.6640625" style="10" bestFit="1" customWidth="1"/>
    <col min="17" max="17" width="10.6640625" style="10" bestFit="1" customWidth="1"/>
    <col min="18" max="16384" width="8.88671875" style="10"/>
  </cols>
  <sheetData>
    <row r="1" spans="1:9" x14ac:dyDescent="0.3">
      <c r="A1" s="10">
        <v>0</v>
      </c>
      <c r="B1" s="10" t="s">
        <v>372</v>
      </c>
    </row>
    <row r="3" spans="1:9" x14ac:dyDescent="0.3">
      <c r="A3" s="10">
        <v>1505761219</v>
      </c>
      <c r="C3" s="10">
        <v>2017</v>
      </c>
      <c r="D3" s="10">
        <v>2018</v>
      </c>
      <c r="E3" s="10">
        <v>2019</v>
      </c>
      <c r="F3" s="10">
        <v>2020</v>
      </c>
      <c r="G3" s="10">
        <v>2021</v>
      </c>
      <c r="H3" s="10">
        <v>2022</v>
      </c>
      <c r="I3" s="10">
        <v>2023</v>
      </c>
    </row>
    <row r="4" spans="1:9" x14ac:dyDescent="0.3">
      <c r="A4" s="10">
        <v>1504951817</v>
      </c>
      <c r="B4" s="10" t="s">
        <v>373</v>
      </c>
    </row>
    <row r="6" spans="1:9" x14ac:dyDescent="0.3">
      <c r="A6" s="10">
        <v>6340</v>
      </c>
      <c r="B6" s="10" t="s">
        <v>374</v>
      </c>
    </row>
    <row r="7" spans="1:9" x14ac:dyDescent="0.3">
      <c r="A7" s="10">
        <v>6388</v>
      </c>
      <c r="B7" s="10" t="s">
        <v>375</v>
      </c>
      <c r="D7" s="51">
        <v>282984.25314502715</v>
      </c>
      <c r="E7" s="51">
        <v>252285.0394973506</v>
      </c>
      <c r="F7" s="51">
        <v>257949.43748949561</v>
      </c>
      <c r="G7" s="51">
        <v>229811.51405809011</v>
      </c>
      <c r="H7" s="51">
        <v>212312.28663084062</v>
      </c>
      <c r="I7" s="51">
        <v>200887.87593060592</v>
      </c>
    </row>
    <row r="8" spans="1:9" x14ac:dyDescent="0.3">
      <c r="A8" s="10">
        <v>1505129417</v>
      </c>
      <c r="B8" s="10" t="s">
        <v>376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</row>
    <row r="9" spans="1:9" x14ac:dyDescent="0.3">
      <c r="A9" s="10">
        <v>1505091818</v>
      </c>
      <c r="B9" s="10" t="s">
        <v>601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</row>
    <row r="10" spans="1:9" x14ac:dyDescent="0.3">
      <c r="A10" s="10">
        <v>1505172817</v>
      </c>
      <c r="B10" s="10" t="s">
        <v>377</v>
      </c>
      <c r="D10" s="51">
        <v>-116743.59113065855</v>
      </c>
      <c r="E10" s="51">
        <v>-33028.243551554595</v>
      </c>
      <c r="F10" s="51">
        <v>-4595.2619999999997</v>
      </c>
      <c r="G10" s="51">
        <v>-2E-3</v>
      </c>
      <c r="H10" s="51">
        <v>-2E-3</v>
      </c>
      <c r="I10" s="51">
        <v>-2E-3</v>
      </c>
    </row>
    <row r="11" spans="1:9" x14ac:dyDescent="0.3">
      <c r="A11" s="10">
        <v>1505646619</v>
      </c>
      <c r="B11" s="10" t="s">
        <v>602</v>
      </c>
      <c r="D11" s="51">
        <v>0</v>
      </c>
      <c r="E11" s="51">
        <v>0</v>
      </c>
      <c r="F11" s="51">
        <v>2951</v>
      </c>
      <c r="G11" s="51">
        <v>0</v>
      </c>
      <c r="H11" s="51">
        <v>0</v>
      </c>
      <c r="I11" s="51">
        <v>0</v>
      </c>
    </row>
    <row r="12" spans="1:9" x14ac:dyDescent="0.3">
      <c r="A12" s="10">
        <v>1505728017</v>
      </c>
      <c r="B12" s="10" t="s">
        <v>603</v>
      </c>
      <c r="D12" s="51">
        <v>0</v>
      </c>
      <c r="E12" s="51">
        <v>0</v>
      </c>
      <c r="F12" s="51">
        <v>-4550.4059999999999</v>
      </c>
      <c r="G12" s="51">
        <v>-820</v>
      </c>
      <c r="H12" s="51">
        <v>-820</v>
      </c>
      <c r="I12" s="51">
        <v>-820</v>
      </c>
    </row>
    <row r="13" spans="1:9" x14ac:dyDescent="0.3">
      <c r="A13" s="10">
        <v>6394</v>
      </c>
      <c r="B13" s="10" t="s">
        <v>378</v>
      </c>
      <c r="D13" s="51">
        <v>-4218.4036410037997</v>
      </c>
      <c r="E13" s="51">
        <v>-712.01562030107016</v>
      </c>
      <c r="F13" s="51">
        <v>-4421.4923489107186</v>
      </c>
      <c r="G13" s="51">
        <v>-4022.9618294083557</v>
      </c>
      <c r="H13" s="51">
        <v>-4295.2474157406132</v>
      </c>
      <c r="I13" s="51">
        <v>-5054.5774150167617</v>
      </c>
    </row>
    <row r="14" spans="1:9" x14ac:dyDescent="0.3">
      <c r="A14" s="10">
        <v>6400</v>
      </c>
      <c r="B14" s="10" t="s">
        <v>379</v>
      </c>
      <c r="D14" s="51">
        <v>1.353873813059181E-8</v>
      </c>
      <c r="E14" s="51">
        <v>-8.3685245044762269E-7</v>
      </c>
      <c r="F14" s="51">
        <v>36303.82713455327</v>
      </c>
      <c r="G14" s="51">
        <v>37763.631548340381</v>
      </c>
      <c r="H14" s="51">
        <v>37468.211704490735</v>
      </c>
      <c r="I14" s="51">
        <v>37297.031562593846</v>
      </c>
    </row>
    <row r="15" spans="1:9" x14ac:dyDescent="0.3">
      <c r="A15" s="10">
        <v>1505440022</v>
      </c>
      <c r="B15" s="10" t="s">
        <v>1026</v>
      </c>
      <c r="D15" s="51">
        <v>-65728.432440000004</v>
      </c>
      <c r="E15" s="51">
        <v>-2725.4623299999998</v>
      </c>
      <c r="F15" s="51">
        <v>5133.8400499999998</v>
      </c>
      <c r="G15" s="51">
        <v>4749.2855600000003</v>
      </c>
      <c r="H15" s="51">
        <v>4392.6556799999998</v>
      </c>
      <c r="I15" s="51">
        <v>4063.4732199999999</v>
      </c>
    </row>
    <row r="17" spans="1:9" x14ac:dyDescent="0.3">
      <c r="A17" s="10">
        <v>1500232805</v>
      </c>
      <c r="B17" s="10" t="s">
        <v>380</v>
      </c>
    </row>
    <row r="18" spans="1:9" x14ac:dyDescent="0.3">
      <c r="A18" s="50">
        <v>1500279697</v>
      </c>
      <c r="B18" s="49" t="s">
        <v>113</v>
      </c>
      <c r="C18" s="49"/>
    </row>
    <row r="19" spans="1:9" x14ac:dyDescent="0.3">
      <c r="A19" s="50">
        <v>1505157221</v>
      </c>
      <c r="B19" s="49" t="s">
        <v>381</v>
      </c>
      <c r="C19" s="49"/>
    </row>
    <row r="20" spans="1:9" x14ac:dyDescent="0.3">
      <c r="A20" s="50">
        <v>1505117020</v>
      </c>
      <c r="B20" s="49" t="s">
        <v>382</v>
      </c>
      <c r="C20" s="49"/>
      <c r="D20" s="51">
        <v>-54000</v>
      </c>
      <c r="E20" s="51">
        <v>-650.36300000000006</v>
      </c>
      <c r="F20" s="51">
        <v>0</v>
      </c>
      <c r="G20" s="51">
        <v>0</v>
      </c>
      <c r="H20" s="51">
        <v>0</v>
      </c>
      <c r="I20" s="51">
        <v>0</v>
      </c>
    </row>
    <row r="21" spans="1:9" x14ac:dyDescent="0.3">
      <c r="A21" s="50">
        <v>1505453220</v>
      </c>
      <c r="B21" s="49" t="s">
        <v>383</v>
      </c>
      <c r="C21" s="49"/>
      <c r="D21" s="51">
        <v>-6343.5469999999996</v>
      </c>
      <c r="E21" s="51">
        <v>-6520.9920000000002</v>
      </c>
      <c r="F21" s="51">
        <v>-6606.7560000000003</v>
      </c>
      <c r="G21" s="51">
        <v>-6635.5789999999997</v>
      </c>
      <c r="H21" s="51">
        <v>-6516.6059999999998</v>
      </c>
      <c r="I21" s="51">
        <v>-6352.4030000000002</v>
      </c>
    </row>
    <row r="22" spans="1:9" x14ac:dyDescent="0.3">
      <c r="A22" s="50">
        <v>1505453218</v>
      </c>
      <c r="B22" s="49" t="s">
        <v>384</v>
      </c>
      <c r="C22" s="49"/>
      <c r="D22" s="51">
        <v>972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x14ac:dyDescent="0.3">
      <c r="A23" s="50">
        <v>1505453219</v>
      </c>
      <c r="B23" s="49" t="s">
        <v>385</v>
      </c>
      <c r="C23" s="49"/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</row>
    <row r="24" spans="1:9" x14ac:dyDescent="0.3">
      <c r="A24" s="50">
        <v>1500279696</v>
      </c>
      <c r="B24" s="49" t="s">
        <v>115</v>
      </c>
      <c r="C24" s="49"/>
    </row>
    <row r="25" spans="1:9" x14ac:dyDescent="0.3">
      <c r="A25" s="50">
        <v>1500279695</v>
      </c>
      <c r="B25" s="49" t="s">
        <v>386</v>
      </c>
      <c r="C25" s="49"/>
    </row>
    <row r="26" spans="1:9" x14ac:dyDescent="0.3">
      <c r="A26" s="50">
        <v>1500232808</v>
      </c>
      <c r="B26" s="49" t="s">
        <v>387</v>
      </c>
      <c r="C26" s="49"/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x14ac:dyDescent="0.3">
      <c r="A27" s="50">
        <v>1500292926</v>
      </c>
      <c r="B27" s="49" t="s">
        <v>388</v>
      </c>
      <c r="C27" s="49"/>
      <c r="D27" s="51">
        <v>400</v>
      </c>
      <c r="E27" s="51">
        <v>400</v>
      </c>
      <c r="F27" s="51">
        <v>400</v>
      </c>
      <c r="G27" s="51">
        <v>400</v>
      </c>
      <c r="H27" s="51">
        <v>400</v>
      </c>
      <c r="I27" s="51">
        <v>400</v>
      </c>
    </row>
    <row r="28" spans="1:9" x14ac:dyDescent="0.3">
      <c r="A28" s="50">
        <v>1500292925</v>
      </c>
      <c r="B28" s="49" t="s">
        <v>389</v>
      </c>
      <c r="C28" s="49"/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</row>
    <row r="29" spans="1:9" x14ac:dyDescent="0.3">
      <c r="A29" s="50">
        <v>1505724422</v>
      </c>
      <c r="B29" s="49" t="s">
        <v>643</v>
      </c>
      <c r="C29" s="49"/>
      <c r="D29" s="51">
        <v>395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</row>
    <row r="30" spans="1:9" x14ac:dyDescent="0.3">
      <c r="A30" s="50">
        <v>1505724421</v>
      </c>
      <c r="B30" s="49" t="s">
        <v>644</v>
      </c>
      <c r="C30" s="49"/>
      <c r="D30" s="51">
        <v>365</v>
      </c>
      <c r="E30" s="51">
        <v>365</v>
      </c>
      <c r="F30" s="51">
        <v>365</v>
      </c>
      <c r="G30" s="51">
        <v>365</v>
      </c>
      <c r="H30" s="51">
        <v>365</v>
      </c>
      <c r="I30" s="51">
        <v>365</v>
      </c>
    </row>
    <row r="31" spans="1:9" x14ac:dyDescent="0.3">
      <c r="A31" s="50">
        <v>1500292924</v>
      </c>
      <c r="B31" s="49" t="s">
        <v>390</v>
      </c>
      <c r="C31" s="49"/>
      <c r="D31" s="51">
        <v>663.47083000000009</v>
      </c>
      <c r="E31" s="51">
        <v>730.52700000000004</v>
      </c>
      <c r="F31" s="51">
        <v>741.50400000000013</v>
      </c>
      <c r="G31" s="51">
        <v>752.43</v>
      </c>
      <c r="H31" s="51">
        <v>763.64400000000001</v>
      </c>
      <c r="I31" s="51">
        <v>774.59699999999998</v>
      </c>
    </row>
    <row r="32" spans="1:9" x14ac:dyDescent="0.3">
      <c r="A32" s="50">
        <v>1505410219</v>
      </c>
      <c r="B32" s="49" t="s">
        <v>391</v>
      </c>
      <c r="C32" s="49"/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x14ac:dyDescent="0.3">
      <c r="A33" s="50">
        <v>1504886017</v>
      </c>
      <c r="B33" s="49" t="s">
        <v>392</v>
      </c>
      <c r="C33" s="4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x14ac:dyDescent="0.3">
      <c r="A34" s="50">
        <v>1502481616</v>
      </c>
      <c r="B34" s="49" t="s">
        <v>393</v>
      </c>
      <c r="C34" s="49"/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x14ac:dyDescent="0.3">
      <c r="A35" s="50">
        <v>1500292922</v>
      </c>
      <c r="B35" s="49" t="s">
        <v>394</v>
      </c>
      <c r="C35" s="49"/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x14ac:dyDescent="0.3">
      <c r="A36" s="50">
        <v>1500292920</v>
      </c>
      <c r="B36" s="49" t="s">
        <v>395</v>
      </c>
      <c r="C36" s="49"/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</row>
    <row r="37" spans="1:9" x14ac:dyDescent="0.3">
      <c r="A37" s="50">
        <v>1500292919</v>
      </c>
      <c r="B37" s="49" t="s">
        <v>396</v>
      </c>
      <c r="C37" s="49"/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</row>
    <row r="38" spans="1:9" x14ac:dyDescent="0.3">
      <c r="A38" s="50">
        <v>1505335426</v>
      </c>
      <c r="B38" s="49" t="s">
        <v>397</v>
      </c>
      <c r="C38" s="49"/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</row>
    <row r="39" spans="1:9" x14ac:dyDescent="0.3">
      <c r="A39" s="50">
        <v>1500292964</v>
      </c>
      <c r="B39" s="49" t="s">
        <v>398</v>
      </c>
      <c r="C39" s="49"/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</row>
    <row r="40" spans="1:9" x14ac:dyDescent="0.3">
      <c r="A40" s="50">
        <v>1500292915</v>
      </c>
      <c r="B40" s="49" t="s">
        <v>399</v>
      </c>
      <c r="C40" s="49"/>
      <c r="D40" s="51">
        <v>1823.4708300000002</v>
      </c>
      <c r="E40" s="51">
        <v>1495.527</v>
      </c>
      <c r="F40" s="51">
        <v>1506.5039999999999</v>
      </c>
      <c r="G40" s="51">
        <v>1517.4300000000003</v>
      </c>
      <c r="H40" s="51">
        <v>1528.644</v>
      </c>
      <c r="I40" s="51">
        <v>1539.5970000000002</v>
      </c>
    </row>
    <row r="41" spans="1:9" x14ac:dyDescent="0.3">
      <c r="A41" s="50">
        <v>1500292913</v>
      </c>
      <c r="B41" s="49" t="s">
        <v>400</v>
      </c>
      <c r="C41" s="49"/>
    </row>
    <row r="42" spans="1:9" x14ac:dyDescent="0.3">
      <c r="A42" s="50">
        <v>1500292912</v>
      </c>
      <c r="B42" s="49" t="s">
        <v>401</v>
      </c>
      <c r="C42" s="49"/>
    </row>
    <row r="43" spans="1:9" x14ac:dyDescent="0.3">
      <c r="A43" s="50">
        <v>1500292921</v>
      </c>
      <c r="B43" s="49" t="s">
        <v>402</v>
      </c>
      <c r="C43" s="49"/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</row>
    <row r="44" spans="1:9" x14ac:dyDescent="0.3">
      <c r="A44" s="50">
        <v>1500292910</v>
      </c>
      <c r="B44" s="49" t="s">
        <v>403</v>
      </c>
      <c r="C44" s="49"/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</row>
    <row r="45" spans="1:9" x14ac:dyDescent="0.3">
      <c r="A45" s="50">
        <v>1505127307</v>
      </c>
      <c r="B45" s="49" t="s">
        <v>404</v>
      </c>
      <c r="C45" s="49"/>
    </row>
    <row r="46" spans="1:9" x14ac:dyDescent="0.3">
      <c r="A46" s="50">
        <v>1500292908</v>
      </c>
      <c r="B46" s="49" t="s">
        <v>405</v>
      </c>
      <c r="C46" s="49"/>
      <c r="D46" s="51">
        <v>1823.4708300000002</v>
      </c>
      <c r="E46" s="51">
        <v>1495.527</v>
      </c>
      <c r="F46" s="51">
        <v>1506.5039999999999</v>
      </c>
      <c r="G46" s="51">
        <v>1517.4300000000003</v>
      </c>
      <c r="H46" s="51">
        <v>1528.644</v>
      </c>
      <c r="I46" s="51">
        <v>1539.5970000000002</v>
      </c>
    </row>
    <row r="47" spans="1:9" x14ac:dyDescent="0.3">
      <c r="A47" s="50">
        <v>1500292905</v>
      </c>
      <c r="B47" s="49" t="s">
        <v>114</v>
      </c>
      <c r="C47" s="49"/>
    </row>
    <row r="48" spans="1:9" x14ac:dyDescent="0.3">
      <c r="A48" s="50">
        <v>1500292937</v>
      </c>
      <c r="B48" s="49" t="s">
        <v>406</v>
      </c>
      <c r="C48" s="49"/>
    </row>
    <row r="49" spans="1:9" x14ac:dyDescent="0.3">
      <c r="A49" s="50">
        <v>1500292916</v>
      </c>
      <c r="B49" s="49" t="s">
        <v>407</v>
      </c>
      <c r="C49" s="49"/>
      <c r="D49" s="51">
        <v>-9790.9032000000007</v>
      </c>
      <c r="E49" s="51">
        <v>-19479.580280000006</v>
      </c>
      <c r="F49" s="51">
        <v>-18545.830539999999</v>
      </c>
      <c r="G49" s="51">
        <v>-18429.96155</v>
      </c>
      <c r="H49" s="51">
        <v>-4341.8996400000005</v>
      </c>
      <c r="I49" s="51">
        <v>-2007.7088700000008</v>
      </c>
    </row>
    <row r="50" spans="1:9" x14ac:dyDescent="0.3">
      <c r="A50" s="50">
        <v>1500292918</v>
      </c>
      <c r="B50" s="49" t="s">
        <v>408</v>
      </c>
      <c r="C50" s="49"/>
      <c r="D50" s="51">
        <v>564.49215995498923</v>
      </c>
      <c r="E50" s="51">
        <v>1258.3654962820624</v>
      </c>
      <c r="F50" s="51">
        <v>2138.0525083557732</v>
      </c>
      <c r="G50" s="51">
        <v>2977.1843747440889</v>
      </c>
      <c r="H50" s="51">
        <v>3601.6379772280952</v>
      </c>
      <c r="I50" s="51">
        <v>3823.3905825670518</v>
      </c>
    </row>
    <row r="51" spans="1:9" x14ac:dyDescent="0.3">
      <c r="A51" s="50">
        <v>1500292917</v>
      </c>
      <c r="B51" s="49" t="s">
        <v>640</v>
      </c>
      <c r="C51" s="49"/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</row>
    <row r="52" spans="1:9" x14ac:dyDescent="0.3">
      <c r="A52" s="50">
        <v>1500292954</v>
      </c>
      <c r="B52" s="49" t="s">
        <v>409</v>
      </c>
      <c r="C52" s="49"/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</row>
    <row r="53" spans="1:9" x14ac:dyDescent="0.3">
      <c r="A53" s="50">
        <v>1500292952</v>
      </c>
      <c r="B53" s="49" t="s">
        <v>410</v>
      </c>
      <c r="C53" s="49"/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</row>
    <row r="54" spans="1:9" x14ac:dyDescent="0.3">
      <c r="A54" s="50">
        <v>1500292950</v>
      </c>
      <c r="B54" s="49" t="s">
        <v>411</v>
      </c>
      <c r="C54" s="49"/>
      <c r="D54" s="51">
        <v>2080.0981499999998</v>
      </c>
      <c r="E54" s="51">
        <v>-1188.92859</v>
      </c>
      <c r="F54" s="51">
        <v>3646.15499</v>
      </c>
      <c r="G54" s="51">
        <v>5867.2462800000003</v>
      </c>
      <c r="H54" s="51">
        <v>5297.4784</v>
      </c>
      <c r="I54" s="51">
        <v>6437.7364799999996</v>
      </c>
    </row>
    <row r="55" spans="1:9" x14ac:dyDescent="0.3">
      <c r="A55" s="50">
        <v>1500292947</v>
      </c>
      <c r="B55" s="49" t="s">
        <v>412</v>
      </c>
      <c r="C55" s="49"/>
      <c r="D55" s="51">
        <v>12000</v>
      </c>
      <c r="E55" s="51">
        <v>12000</v>
      </c>
      <c r="F55" s="51">
        <v>12000</v>
      </c>
      <c r="G55" s="51">
        <v>12000</v>
      </c>
      <c r="H55" s="51">
        <v>12000</v>
      </c>
      <c r="I55" s="51">
        <v>12000</v>
      </c>
    </row>
    <row r="56" spans="1:9" x14ac:dyDescent="0.3">
      <c r="A56" s="50">
        <v>1500292968</v>
      </c>
      <c r="B56" s="49" t="s">
        <v>413</v>
      </c>
      <c r="C56" s="49"/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</row>
    <row r="57" spans="1:9" x14ac:dyDescent="0.3">
      <c r="A57" s="50">
        <v>1501923605</v>
      </c>
      <c r="B57" s="49" t="s">
        <v>528</v>
      </c>
      <c r="C57" s="49"/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</row>
    <row r="58" spans="1:9" x14ac:dyDescent="0.3">
      <c r="A58" s="50">
        <v>1500292970</v>
      </c>
      <c r="B58" s="49" t="s">
        <v>529</v>
      </c>
      <c r="C58" s="49"/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</row>
    <row r="59" spans="1:9" x14ac:dyDescent="0.3">
      <c r="A59" s="50">
        <v>1500292987</v>
      </c>
      <c r="B59" s="49" t="s">
        <v>414</v>
      </c>
      <c r="C59" s="49"/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</row>
    <row r="60" spans="1:9" x14ac:dyDescent="0.3">
      <c r="A60" s="50">
        <v>1500292992</v>
      </c>
      <c r="B60" s="49" t="s">
        <v>415</v>
      </c>
      <c r="C60" s="49"/>
      <c r="D60" s="51">
        <v>184.60961999999995</v>
      </c>
      <c r="E60" s="51">
        <v>184.73615999999993</v>
      </c>
      <c r="F60" s="51">
        <v>184.73615999999993</v>
      </c>
      <c r="G60" s="51">
        <v>184.73615999999993</v>
      </c>
      <c r="H60" s="51">
        <v>15.394679999999999</v>
      </c>
      <c r="I60" s="51">
        <v>0</v>
      </c>
    </row>
    <row r="61" spans="1:9" x14ac:dyDescent="0.3">
      <c r="A61" s="50">
        <v>1505335617</v>
      </c>
      <c r="B61" s="49" t="s">
        <v>416</v>
      </c>
      <c r="C61" s="49"/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</row>
    <row r="62" spans="1:9" x14ac:dyDescent="0.3">
      <c r="A62" s="50">
        <v>1505092466</v>
      </c>
      <c r="B62" s="49" t="s">
        <v>417</v>
      </c>
      <c r="C62" s="49"/>
      <c r="D62" s="51">
        <v>197228.85575714536</v>
      </c>
      <c r="E62" s="51">
        <v>243386.85179761337</v>
      </c>
      <c r="F62" s="51">
        <v>270314.49151485221</v>
      </c>
      <c r="G62" s="51">
        <v>279304.04569073406</v>
      </c>
      <c r="H62" s="51">
        <v>289558.38875074411</v>
      </c>
      <c r="I62" s="51">
        <v>301639.60541506001</v>
      </c>
    </row>
    <row r="63" spans="1:9" x14ac:dyDescent="0.3">
      <c r="A63" s="50">
        <v>1505117019</v>
      </c>
      <c r="B63" s="49" t="s">
        <v>418</v>
      </c>
      <c r="C63" s="49"/>
      <c r="D63" s="51">
        <v>-34869.76341</v>
      </c>
      <c r="E63" s="51">
        <v>-38070.538139999997</v>
      </c>
      <c r="F63" s="51">
        <v>-25348.468230000002</v>
      </c>
      <c r="G63" s="51">
        <v>-26112.316769999998</v>
      </c>
      <c r="H63" s="51">
        <v>-20073.626909999999</v>
      </c>
      <c r="I63" s="51">
        <v>-19556.478160000002</v>
      </c>
    </row>
    <row r="64" spans="1:9" x14ac:dyDescent="0.3">
      <c r="A64" s="50">
        <v>1505117021</v>
      </c>
      <c r="B64" s="49" t="s">
        <v>419</v>
      </c>
      <c r="C64" s="49"/>
      <c r="D64" s="51">
        <v>1824.3745031782664</v>
      </c>
      <c r="E64" s="51">
        <v>-772.49917622444718</v>
      </c>
      <c r="F64" s="51">
        <v>-1939.6975663233416</v>
      </c>
      <c r="G64" s="51">
        <v>-2321.1211248061736</v>
      </c>
      <c r="H64" s="51">
        <v>-3437.7551721877808</v>
      </c>
      <c r="I64" s="51">
        <v>-5350.8321802548826</v>
      </c>
    </row>
    <row r="65" spans="1:9" x14ac:dyDescent="0.3">
      <c r="A65" s="50">
        <v>1505157220</v>
      </c>
      <c r="B65" s="49" t="s">
        <v>420</v>
      </c>
      <c r="C65" s="49"/>
      <c r="D65" s="51">
        <v>-650.36300000000006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</row>
    <row r="66" spans="1:9" x14ac:dyDescent="0.3">
      <c r="A66" s="50">
        <v>1505117023</v>
      </c>
      <c r="B66" s="49" t="s">
        <v>421</v>
      </c>
      <c r="C66" s="49"/>
      <c r="D66" s="51">
        <v>3300.5410000000029</v>
      </c>
      <c r="E66" s="51">
        <v>3020.8980000000047</v>
      </c>
      <c r="F66" s="51">
        <v>2985.0149999999994</v>
      </c>
      <c r="G66" s="51">
        <v>2784.5099999999998</v>
      </c>
      <c r="H66" s="51">
        <v>2747.8089999999997</v>
      </c>
      <c r="I66" s="51">
        <v>2716.6080000000002</v>
      </c>
    </row>
    <row r="67" spans="1:9" x14ac:dyDescent="0.3">
      <c r="A67" s="50">
        <v>1505117022</v>
      </c>
      <c r="B67" s="49" t="s">
        <v>422</v>
      </c>
      <c r="C67" s="49"/>
      <c r="D67" s="51">
        <v>-6343.5469999999996</v>
      </c>
      <c r="E67" s="51">
        <v>-6520.9920000000002</v>
      </c>
      <c r="F67" s="51">
        <v>-6606.7560000000003</v>
      </c>
      <c r="G67" s="51">
        <v>-6635.5789999999997</v>
      </c>
      <c r="H67" s="51">
        <v>-6516.6059999999998</v>
      </c>
      <c r="I67" s="51">
        <v>-6352.4030000000002</v>
      </c>
    </row>
    <row r="68" spans="1:9" x14ac:dyDescent="0.3">
      <c r="A68" s="50">
        <v>1505135025</v>
      </c>
      <c r="B68" s="49" t="s">
        <v>423</v>
      </c>
      <c r="C68" s="49"/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</row>
    <row r="69" spans="1:9" x14ac:dyDescent="0.3">
      <c r="A69" s="50">
        <v>1505218217</v>
      </c>
      <c r="B69" s="49" t="s">
        <v>424</v>
      </c>
      <c r="C69" s="49"/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</row>
    <row r="70" spans="1:9" x14ac:dyDescent="0.3">
      <c r="A70" s="50">
        <v>1505152417</v>
      </c>
      <c r="B70" s="49" t="s">
        <v>425</v>
      </c>
      <c r="C70" s="49"/>
      <c r="D70" s="51">
        <v>-30000</v>
      </c>
      <c r="E70" s="51">
        <v>-30000</v>
      </c>
      <c r="F70" s="51">
        <v>-30000</v>
      </c>
      <c r="G70" s="51">
        <v>-30000</v>
      </c>
      <c r="H70" s="51">
        <v>-30000</v>
      </c>
      <c r="I70" s="51">
        <v>-30000</v>
      </c>
    </row>
    <row r="71" spans="1:9" x14ac:dyDescent="0.3">
      <c r="A71" s="50">
        <v>1505154017</v>
      </c>
      <c r="B71" s="49" t="s">
        <v>426</v>
      </c>
      <c r="C71" s="49"/>
      <c r="D71" s="51">
        <v>10553.570937335417</v>
      </c>
      <c r="E71" s="51">
        <v>8873.1668456374973</v>
      </c>
      <c r="F71" s="51">
        <v>6448.5232152104145</v>
      </c>
      <c r="G71" s="51">
        <v>7341.8681352916647</v>
      </c>
      <c r="H71" s="51">
        <v>7281.1968634999976</v>
      </c>
      <c r="I71" s="51">
        <v>4651.0318891458301</v>
      </c>
    </row>
    <row r="72" spans="1:9" x14ac:dyDescent="0.3">
      <c r="A72" s="50">
        <v>1505152419</v>
      </c>
      <c r="B72" s="49" t="s">
        <v>427</v>
      </c>
      <c r="C72" s="49"/>
      <c r="D72" s="51">
        <v>20767.373652705046</v>
      </c>
      <c r="E72" s="51">
        <v>756.53129980687299</v>
      </c>
      <c r="F72" s="51">
        <v>12084.151943186123</v>
      </c>
      <c r="G72" s="51">
        <v>10106.416539668169</v>
      </c>
      <c r="H72" s="51">
        <v>6686.6279931201352</v>
      </c>
      <c r="I72" s="51">
        <v>7564.0418843169755</v>
      </c>
    </row>
    <row r="73" spans="1:9" x14ac:dyDescent="0.3">
      <c r="A73" s="50">
        <v>1505152418</v>
      </c>
      <c r="B73" s="49" t="s">
        <v>428</v>
      </c>
      <c r="C73" s="49"/>
      <c r="D73" s="51">
        <v>7133.8070990722517</v>
      </c>
      <c r="E73" s="51">
        <v>-11787.715033348084</v>
      </c>
      <c r="F73" s="51">
        <v>-1266.7617351174645</v>
      </c>
      <c r="G73" s="51">
        <v>-1975.1612705499247</v>
      </c>
      <c r="H73" s="51">
        <v>-1157.1444132278993</v>
      </c>
      <c r="I73" s="51">
        <v>-1783.6384705820637</v>
      </c>
    </row>
    <row r="74" spans="1:9" x14ac:dyDescent="0.3">
      <c r="A74" s="50">
        <v>1505741022</v>
      </c>
      <c r="B74" s="49" t="s">
        <v>639</v>
      </c>
      <c r="C74" s="49"/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</row>
    <row r="75" spans="1:9" x14ac:dyDescent="0.3">
      <c r="A75" s="50">
        <v>1500292990</v>
      </c>
      <c r="B75" s="49" t="s">
        <v>429</v>
      </c>
      <c r="C75" s="49"/>
      <c r="D75" s="51">
        <v>173983.14626939138</v>
      </c>
      <c r="E75" s="51">
        <v>161660.29637976727</v>
      </c>
      <c r="F75" s="51">
        <v>226093.61126016377</v>
      </c>
      <c r="G75" s="51">
        <v>235091.86746508177</v>
      </c>
      <c r="H75" s="51">
        <v>261661.50152917657</v>
      </c>
      <c r="I75" s="51">
        <v>273781.35357025289</v>
      </c>
    </row>
    <row r="76" spans="1:9" x14ac:dyDescent="0.3">
      <c r="A76" s="50">
        <v>1505092465</v>
      </c>
      <c r="B76" s="49" t="s">
        <v>430</v>
      </c>
      <c r="C76" s="49"/>
      <c r="D76" s="51">
        <v>-272100.44303269056</v>
      </c>
      <c r="E76" s="51">
        <v>-378975.14137931791</v>
      </c>
      <c r="F76" s="51">
        <v>-273070.29019087908</v>
      </c>
      <c r="G76" s="51">
        <v>-283415.55445231491</v>
      </c>
      <c r="H76" s="51">
        <v>-293275.02078390832</v>
      </c>
      <c r="I76" s="51">
        <v>-293708.04619531531</v>
      </c>
    </row>
    <row r="77" spans="1:9" x14ac:dyDescent="0.3">
      <c r="A77" s="50">
        <v>1501431604</v>
      </c>
      <c r="B77" s="49" t="s">
        <v>431</v>
      </c>
      <c r="C77" s="49"/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</row>
    <row r="78" spans="1:9" x14ac:dyDescent="0.3">
      <c r="A78" s="50">
        <v>1504879017</v>
      </c>
      <c r="B78" s="49" t="s">
        <v>432</v>
      </c>
      <c r="C78" s="49"/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</row>
    <row r="79" spans="1:9" x14ac:dyDescent="0.3">
      <c r="A79" s="50">
        <v>1500292963</v>
      </c>
      <c r="B79" s="49" t="s">
        <v>433</v>
      </c>
      <c r="C79" s="49"/>
      <c r="D79" s="51">
        <v>-272100.44303269056</v>
      </c>
      <c r="E79" s="51">
        <v>-378975.14137931791</v>
      </c>
      <c r="F79" s="51">
        <v>-273070.29019087908</v>
      </c>
      <c r="G79" s="51">
        <v>-283415.55445231491</v>
      </c>
      <c r="H79" s="51">
        <v>-293275.02078390832</v>
      </c>
      <c r="I79" s="51">
        <v>-293708.04619531531</v>
      </c>
    </row>
    <row r="80" spans="1:9" x14ac:dyDescent="0.3">
      <c r="A80" s="50">
        <v>1500292991</v>
      </c>
      <c r="B80" s="49" t="s">
        <v>434</v>
      </c>
      <c r="C80" s="49"/>
      <c r="D80" s="51">
        <v>-98117.296763299179</v>
      </c>
      <c r="E80" s="51">
        <v>-217314.84499955055</v>
      </c>
      <c r="F80" s="51">
        <v>-46976.67893071525</v>
      </c>
      <c r="G80" s="51">
        <v>-48323.686987233086</v>
      </c>
      <c r="H80" s="51">
        <v>-31613.519254731709</v>
      </c>
      <c r="I80" s="51">
        <v>-19926.692625062482</v>
      </c>
    </row>
    <row r="81" spans="1:9" x14ac:dyDescent="0.3">
      <c r="A81" s="50">
        <v>1500391335</v>
      </c>
      <c r="B81" s="49" t="s">
        <v>435</v>
      </c>
      <c r="C81" s="49"/>
      <c r="D81" s="51">
        <v>173983.14626939138</v>
      </c>
      <c r="E81" s="51">
        <v>161660.29637976727</v>
      </c>
      <c r="F81" s="51">
        <v>226093.61126016377</v>
      </c>
      <c r="G81" s="51">
        <v>235091.86746508177</v>
      </c>
      <c r="H81" s="51">
        <v>261661.50152917657</v>
      </c>
      <c r="I81" s="51">
        <v>273781.35357025289</v>
      </c>
    </row>
    <row r="82" spans="1:9" x14ac:dyDescent="0.3">
      <c r="A82" s="50">
        <v>1500391334</v>
      </c>
      <c r="B82" s="49" t="s">
        <v>436</v>
      </c>
      <c r="C82" s="49"/>
      <c r="D82" s="51">
        <v>-272100.44303269056</v>
      </c>
      <c r="E82" s="51">
        <v>-378975.14137931791</v>
      </c>
      <c r="F82" s="51">
        <v>-273070.29019087908</v>
      </c>
      <c r="G82" s="51">
        <v>-283415.55445231491</v>
      </c>
      <c r="H82" s="51">
        <v>-293275.02078390832</v>
      </c>
      <c r="I82" s="51">
        <v>-293708.04619531531</v>
      </c>
    </row>
    <row r="83" spans="1:9" x14ac:dyDescent="0.3">
      <c r="A83" s="50">
        <v>1500292928</v>
      </c>
      <c r="B83" s="49" t="s">
        <v>437</v>
      </c>
      <c r="C83" s="49"/>
      <c r="D83" s="51">
        <v>-98117.296763299179</v>
      </c>
      <c r="E83" s="51">
        <v>-217314.84499955055</v>
      </c>
      <c r="F83" s="51">
        <v>-46976.67893071525</v>
      </c>
      <c r="G83" s="51">
        <v>-48323.686987233086</v>
      </c>
      <c r="H83" s="51">
        <v>-31613.519254731709</v>
      </c>
      <c r="I83" s="51">
        <v>-19926.692625062482</v>
      </c>
    </row>
    <row r="84" spans="1:9" x14ac:dyDescent="0.3">
      <c r="A84" s="50">
        <v>1500391349</v>
      </c>
      <c r="B84" s="49" t="s">
        <v>438</v>
      </c>
      <c r="C84" s="49"/>
      <c r="D84" s="51">
        <v>516.25842199028409</v>
      </c>
      <c r="E84" s="51">
        <v>516.25842199028409</v>
      </c>
      <c r="F84" s="51">
        <v>516.25842199028409</v>
      </c>
      <c r="G84" s="51">
        <v>516.25842199028409</v>
      </c>
      <c r="H84" s="51">
        <v>516.25842199028409</v>
      </c>
      <c r="I84" s="51">
        <v>516.25842199028409</v>
      </c>
    </row>
    <row r="85" spans="1:9" x14ac:dyDescent="0.3">
      <c r="A85" s="50">
        <v>1505129419</v>
      </c>
      <c r="B85" s="49" t="s">
        <v>439</v>
      </c>
      <c r="C85" s="49"/>
      <c r="D85" s="51">
        <v>611.45227063990683</v>
      </c>
      <c r="E85" s="51">
        <v>515.85227063990772</v>
      </c>
      <c r="F85" s="51">
        <v>445.84227063990733</v>
      </c>
      <c r="G85" s="51">
        <v>425.04227063990771</v>
      </c>
      <c r="H85" s="51">
        <v>415.58227063990688</v>
      </c>
      <c r="I85" s="51">
        <v>407.65827063990719</v>
      </c>
    </row>
    <row r="86" spans="1:9" x14ac:dyDescent="0.3">
      <c r="A86" s="50">
        <v>1500391341</v>
      </c>
      <c r="B86" s="49" t="s">
        <v>440</v>
      </c>
      <c r="C86" s="49"/>
      <c r="D86" s="51">
        <v>1127.7106926301906</v>
      </c>
      <c r="E86" s="51">
        <v>1032.1106926301916</v>
      </c>
      <c r="F86" s="51">
        <v>962.10069263019147</v>
      </c>
      <c r="G86" s="51">
        <v>941.30069263019152</v>
      </c>
      <c r="H86" s="51">
        <v>931.84069263019057</v>
      </c>
      <c r="I86" s="51">
        <v>923.91669263019128</v>
      </c>
    </row>
    <row r="87" spans="1:9" x14ac:dyDescent="0.3">
      <c r="A87" s="50">
        <v>1505154020</v>
      </c>
      <c r="B87" s="49" t="s">
        <v>441</v>
      </c>
      <c r="C87" s="49"/>
      <c r="D87" s="51">
        <v>3618367.1785149998</v>
      </c>
      <c r="E87" s="51">
        <v>3042228.6327899988</v>
      </c>
      <c r="F87" s="51">
        <v>2210922.2452149992</v>
      </c>
      <c r="G87" s="51">
        <v>2517211.9320999985</v>
      </c>
      <c r="H87" s="51">
        <v>2496410.3531999988</v>
      </c>
      <c r="I87" s="51">
        <v>1594639.504849999</v>
      </c>
    </row>
    <row r="88" spans="1:9" x14ac:dyDescent="0.3">
      <c r="A88" s="50">
        <v>1505154019</v>
      </c>
      <c r="B88" s="49" t="s">
        <v>442</v>
      </c>
      <c r="C88" s="49"/>
      <c r="D88" s="51">
        <v>2.9166666666666668E-3</v>
      </c>
      <c r="E88" s="51">
        <v>2.9166666666666668E-3</v>
      </c>
      <c r="F88" s="51">
        <v>2.9166666666666668E-3</v>
      </c>
      <c r="G88" s="51">
        <v>2.9166666666666668E-3</v>
      </c>
      <c r="H88" s="51">
        <v>2.9166666666666668E-3</v>
      </c>
      <c r="I88" s="51">
        <v>2.9166666666666668E-3</v>
      </c>
    </row>
    <row r="89" spans="1:9" x14ac:dyDescent="0.3">
      <c r="A89" s="50">
        <v>1505208019</v>
      </c>
      <c r="B89" s="49" t="s">
        <v>443</v>
      </c>
      <c r="C89" s="49"/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</row>
    <row r="90" spans="1:9" x14ac:dyDescent="0.3">
      <c r="A90" s="50">
        <v>1505208020</v>
      </c>
      <c r="B90" s="49" t="s">
        <v>444</v>
      </c>
      <c r="C90" s="49"/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</row>
    <row r="91" spans="1:9" x14ac:dyDescent="0.3">
      <c r="A91" s="50">
        <v>1505208021</v>
      </c>
      <c r="B91" s="49" t="s">
        <v>445</v>
      </c>
      <c r="C91" s="49"/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</row>
    <row r="92" spans="1:9" x14ac:dyDescent="0.3">
      <c r="A92" s="50">
        <v>1505208833</v>
      </c>
      <c r="B92" s="49" t="s">
        <v>446</v>
      </c>
      <c r="C92" s="49"/>
      <c r="D92" s="51">
        <v>-366822.79742433131</v>
      </c>
      <c r="E92" s="51">
        <v>-393600.55047126679</v>
      </c>
      <c r="F92" s="51">
        <v>-389519.70577110915</v>
      </c>
      <c r="G92" s="51">
        <v>-378361.57493559393</v>
      </c>
      <c r="H92" s="51">
        <v>-381997.48384522978</v>
      </c>
      <c r="I92" s="51">
        <v>-367517.27819259063</v>
      </c>
    </row>
    <row r="93" spans="1:9" x14ac:dyDescent="0.3">
      <c r="A93" s="50">
        <v>1505208832</v>
      </c>
      <c r="B93" s="49" t="s">
        <v>447</v>
      </c>
      <c r="C93" s="49"/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</row>
    <row r="94" spans="1:9" x14ac:dyDescent="0.3">
      <c r="A94" s="50">
        <v>1505208023</v>
      </c>
      <c r="B94" s="49" t="s">
        <v>448</v>
      </c>
      <c r="C94" s="49"/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</row>
    <row r="95" spans="1:9" x14ac:dyDescent="0.3">
      <c r="A95" s="50">
        <v>1505208835</v>
      </c>
      <c r="B95" s="49" t="s">
        <v>449</v>
      </c>
      <c r="C95" s="49"/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</row>
    <row r="97" spans="1:17" x14ac:dyDescent="0.3">
      <c r="A97" s="10">
        <v>1505092417</v>
      </c>
      <c r="B97" s="10" t="s">
        <v>450</v>
      </c>
      <c r="K97" s="10">
        <v>2018</v>
      </c>
      <c r="L97" s="10">
        <v>2019</v>
      </c>
      <c r="M97" s="10">
        <v>2020</v>
      </c>
      <c r="N97" s="10">
        <v>2021</v>
      </c>
      <c r="O97" s="10">
        <v>2022</v>
      </c>
      <c r="P97" s="10">
        <v>2023</v>
      </c>
      <c r="Q97" s="10">
        <v>2024</v>
      </c>
    </row>
    <row r="98" spans="1:17" x14ac:dyDescent="0.3">
      <c r="A98" s="50">
        <v>1505322021</v>
      </c>
      <c r="B98" s="49" t="s">
        <v>604</v>
      </c>
      <c r="C98" s="51">
        <v>38276.449810000006</v>
      </c>
      <c r="D98" s="51">
        <v>35885.013888709676</v>
      </c>
      <c r="E98" s="51">
        <v>33493.577924193545</v>
      </c>
      <c r="F98" s="51">
        <v>31095.590080322574</v>
      </c>
      <c r="G98" s="51">
        <v>28704.154115806439</v>
      </c>
      <c r="H98" s="51">
        <v>26312.718151290304</v>
      </c>
      <c r="I98" s="51">
        <v>23921.28218677417</v>
      </c>
      <c r="K98" s="51">
        <v>2391.4359212903291</v>
      </c>
      <c r="L98" s="51">
        <v>2391.4359645161312</v>
      </c>
      <c r="M98" s="51">
        <v>2397.9878438709711</v>
      </c>
      <c r="N98" s="51">
        <v>2391.4359645161348</v>
      </c>
      <c r="O98" s="51">
        <v>2391.4359645161348</v>
      </c>
      <c r="P98" s="51">
        <v>2391.4359645161348</v>
      </c>
      <c r="Q98" s="51">
        <v>23921.28218677417</v>
      </c>
    </row>
    <row r="99" spans="1:17" x14ac:dyDescent="0.3">
      <c r="A99" s="50">
        <v>1505123250</v>
      </c>
      <c r="B99" s="49" t="s">
        <v>630</v>
      </c>
      <c r="C99" s="51">
        <v>6735.4508600000008</v>
      </c>
      <c r="D99" s="51">
        <v>6346.7917400000015</v>
      </c>
      <c r="E99" s="51">
        <v>5958.1326200000049</v>
      </c>
      <c r="F99" s="51">
        <v>5569.4735000000082</v>
      </c>
      <c r="G99" s="51">
        <v>5180.8143800000116</v>
      </c>
      <c r="H99" s="51">
        <v>4792.155260000015</v>
      </c>
      <c r="I99" s="51">
        <v>4403.4961400000184</v>
      </c>
      <c r="K99" s="51">
        <v>388.65911999999935</v>
      </c>
      <c r="L99" s="51">
        <v>388.65911999999662</v>
      </c>
      <c r="M99" s="51">
        <v>388.65911999999662</v>
      </c>
      <c r="N99" s="51">
        <v>388.65911999999662</v>
      </c>
      <c r="O99" s="51">
        <v>388.65911999999662</v>
      </c>
      <c r="P99" s="51">
        <v>388.65911999999662</v>
      </c>
      <c r="Q99" s="51">
        <v>4403.4961400000184</v>
      </c>
    </row>
    <row r="100" spans="1:17" x14ac:dyDescent="0.3">
      <c r="A100" s="50">
        <v>1505586818</v>
      </c>
      <c r="B100" s="49" t="s">
        <v>631</v>
      </c>
      <c r="C100" s="51">
        <v>9129.5249800000001</v>
      </c>
      <c r="D100" s="51">
        <v>8568.2779052054793</v>
      </c>
      <c r="E100" s="51">
        <v>8009.3279052054804</v>
      </c>
      <c r="F100" s="51">
        <v>7448.846535342469</v>
      </c>
      <c r="G100" s="51">
        <v>6889.8965353424719</v>
      </c>
      <c r="H100" s="51">
        <v>6330.9465353424748</v>
      </c>
      <c r="I100" s="51">
        <v>5771.9965353424777</v>
      </c>
      <c r="K100" s="51">
        <v>561.24707479452081</v>
      </c>
      <c r="L100" s="51">
        <v>558.94999999999891</v>
      </c>
      <c r="M100" s="51">
        <v>560.48136986301142</v>
      </c>
      <c r="N100" s="51">
        <v>558.94999999999709</v>
      </c>
      <c r="O100" s="51">
        <v>558.94999999999709</v>
      </c>
      <c r="P100" s="51">
        <v>558.94999999999709</v>
      </c>
      <c r="Q100" s="51">
        <v>5771.9965353424777</v>
      </c>
    </row>
    <row r="101" spans="1:17" x14ac:dyDescent="0.3">
      <c r="A101" s="50">
        <v>1505120830</v>
      </c>
      <c r="B101" s="49" t="s">
        <v>605</v>
      </c>
      <c r="C101" s="51">
        <v>6081.25263</v>
      </c>
      <c r="D101" s="51">
        <v>3727.2193500000003</v>
      </c>
      <c r="E101" s="51">
        <v>2037.144177692312</v>
      </c>
      <c r="F101" s="51">
        <v>679.04805923078038</v>
      </c>
      <c r="G101" s="51">
        <v>1.446665010007564E-11</v>
      </c>
      <c r="H101" s="51">
        <v>1.446665010007564E-11</v>
      </c>
      <c r="I101" s="51">
        <v>1.446665010007564E-11</v>
      </c>
      <c r="K101" s="51">
        <v>2354.0332799999996</v>
      </c>
      <c r="L101" s="51">
        <v>1690.0751723076883</v>
      </c>
      <c r="M101" s="51">
        <v>1358.0961184615317</v>
      </c>
      <c r="N101" s="51">
        <v>679.04805923076594</v>
      </c>
      <c r="O101" s="51">
        <v>0</v>
      </c>
      <c r="P101" s="51">
        <v>0</v>
      </c>
      <c r="Q101" s="51">
        <v>1.446665010007564E-11</v>
      </c>
    </row>
    <row r="102" spans="1:17" x14ac:dyDescent="0.3">
      <c r="A102" s="50">
        <v>1505120837</v>
      </c>
      <c r="B102" s="49" t="s">
        <v>606</v>
      </c>
      <c r="C102" s="51">
        <v>11324.918210000002</v>
      </c>
      <c r="D102" s="51">
        <v>6941.0791780171421</v>
      </c>
      <c r="E102" s="51">
        <v>3793.7073617311444</v>
      </c>
      <c r="F102" s="51">
        <v>1264.5691492850074</v>
      </c>
      <c r="G102" s="51">
        <v>3.0619381413687918E-6</v>
      </c>
      <c r="H102" s="51">
        <v>3.0619381413687918E-6</v>
      </c>
      <c r="I102" s="51">
        <v>3.0619381413687918E-6</v>
      </c>
      <c r="K102" s="51">
        <v>4383.8390319828595</v>
      </c>
      <c r="L102" s="51">
        <v>3147.3718162859977</v>
      </c>
      <c r="M102" s="51">
        <v>2529.138212446137</v>
      </c>
      <c r="N102" s="51">
        <v>1264.5691462230693</v>
      </c>
      <c r="O102" s="51">
        <v>0</v>
      </c>
      <c r="P102" s="51">
        <v>0</v>
      </c>
      <c r="Q102" s="51">
        <v>3.0619381413687918E-6</v>
      </c>
    </row>
    <row r="103" spans="1:17" x14ac:dyDescent="0.3">
      <c r="A103" s="50">
        <v>1505120849</v>
      </c>
      <c r="B103" s="49" t="s">
        <v>632</v>
      </c>
      <c r="C103" s="51">
        <v>3801.6855700000001</v>
      </c>
      <c r="D103" s="51">
        <v>3118.9923000000008</v>
      </c>
      <c r="E103" s="51">
        <v>-5.9999998029525159E-5</v>
      </c>
      <c r="F103" s="51">
        <v>-5.9999998029525159E-5</v>
      </c>
      <c r="G103" s="51">
        <v>-5.9999998029525159E-5</v>
      </c>
      <c r="H103" s="51">
        <v>-5.9999998029525159E-5</v>
      </c>
      <c r="I103" s="51">
        <v>-5.9999998029525159E-5</v>
      </c>
      <c r="K103" s="51">
        <v>682.6932699999993</v>
      </c>
      <c r="L103" s="51">
        <v>3118.9923599999988</v>
      </c>
      <c r="M103" s="51">
        <v>0</v>
      </c>
      <c r="N103" s="51">
        <v>0</v>
      </c>
      <c r="O103" s="51">
        <v>0</v>
      </c>
      <c r="P103" s="51">
        <v>0</v>
      </c>
      <c r="Q103" s="51">
        <v>-5.9999998029525159E-5</v>
      </c>
    </row>
    <row r="104" spans="1:17" x14ac:dyDescent="0.3">
      <c r="A104" s="50">
        <v>1505121026</v>
      </c>
      <c r="B104" s="49" t="s">
        <v>633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</row>
    <row r="105" spans="1:17" x14ac:dyDescent="0.3">
      <c r="A105" s="50">
        <v>1505120829</v>
      </c>
      <c r="B105" s="49" t="s">
        <v>607</v>
      </c>
      <c r="C105" s="51">
        <v>4700</v>
      </c>
      <c r="D105" s="51">
        <v>-9978.2056581439938</v>
      </c>
      <c r="E105" s="51">
        <v>-4764.8915607617446</v>
      </c>
      <c r="F105" s="51">
        <v>-4519.5907790217198</v>
      </c>
      <c r="G105" s="51">
        <v>-4960.0242076801615</v>
      </c>
      <c r="H105" s="51">
        <v>-4587.6779614877451</v>
      </c>
      <c r="I105" s="51">
        <v>-5053.4119312525481</v>
      </c>
      <c r="K105" s="51">
        <v>14678.205658143994</v>
      </c>
      <c r="L105" s="51">
        <v>-5213.3140973822492</v>
      </c>
      <c r="M105" s="51">
        <v>-245.30078174002483</v>
      </c>
      <c r="N105" s="51">
        <v>440.4334286584417</v>
      </c>
      <c r="O105" s="51">
        <v>-372.3462461924164</v>
      </c>
      <c r="P105" s="51">
        <v>465.73396976480308</v>
      </c>
      <c r="Q105" s="51">
        <v>-5053.4119312525481</v>
      </c>
    </row>
    <row r="106" spans="1:17" x14ac:dyDescent="0.3">
      <c r="A106" s="50">
        <v>1505123221</v>
      </c>
      <c r="B106" s="49" t="s">
        <v>608</v>
      </c>
      <c r="C106" s="51">
        <v>2106.72073</v>
      </c>
      <c r="D106" s="51">
        <v>2903.8062370247758</v>
      </c>
      <c r="E106" s="51">
        <v>2425.9562139070335</v>
      </c>
      <c r="F106" s="51">
        <v>1386.2606465183094</v>
      </c>
      <c r="G106" s="51">
        <v>346.56507912958432</v>
      </c>
      <c r="H106" s="51">
        <v>-693.1304882591412</v>
      </c>
      <c r="I106" s="51">
        <v>-1732.8260556478658</v>
      </c>
      <c r="K106" s="51">
        <v>-797.08550702477578</v>
      </c>
      <c r="L106" s="51">
        <v>477.85002311774224</v>
      </c>
      <c r="M106" s="51">
        <v>1039.6955673887242</v>
      </c>
      <c r="N106" s="51">
        <v>1039.6955673887251</v>
      </c>
      <c r="O106" s="51">
        <v>1039.6955673887255</v>
      </c>
      <c r="P106" s="51">
        <v>1039.6955673887246</v>
      </c>
      <c r="Q106" s="51">
        <v>-1732.8260556478658</v>
      </c>
    </row>
    <row r="107" spans="1:17" x14ac:dyDescent="0.3">
      <c r="A107" s="50">
        <v>1505123228</v>
      </c>
      <c r="B107" s="49" t="s">
        <v>609</v>
      </c>
      <c r="C107" s="51">
        <v>154.47</v>
      </c>
      <c r="D107" s="51">
        <v>154.47000000000003</v>
      </c>
      <c r="E107" s="51">
        <v>56.910000000000075</v>
      </c>
      <c r="F107" s="51">
        <v>6.0396132539608516E-14</v>
      </c>
      <c r="G107" s="51">
        <v>6.0396132539608516E-14</v>
      </c>
      <c r="H107" s="51">
        <v>6.0396132539608516E-14</v>
      </c>
      <c r="I107" s="51">
        <v>6.0396132539608516E-14</v>
      </c>
      <c r="K107" s="51">
        <v>0</v>
      </c>
      <c r="L107" s="51">
        <v>97.559999999999945</v>
      </c>
      <c r="M107" s="51">
        <v>56.910000000000011</v>
      </c>
      <c r="N107" s="51">
        <v>0</v>
      </c>
      <c r="O107" s="51">
        <v>0</v>
      </c>
      <c r="P107" s="51">
        <v>0</v>
      </c>
      <c r="Q107" s="51">
        <v>6.0396132539608516E-14</v>
      </c>
    </row>
    <row r="108" spans="1:17" x14ac:dyDescent="0.3">
      <c r="A108" s="50">
        <v>1505126423</v>
      </c>
      <c r="B108" s="49" t="s">
        <v>634</v>
      </c>
      <c r="C108" s="51">
        <v>402.60615000000001</v>
      </c>
      <c r="D108" s="51">
        <v>-402.60620999999992</v>
      </c>
      <c r="E108" s="51">
        <v>-464.54561000000001</v>
      </c>
      <c r="F108" s="51">
        <v>-154.8485300000001</v>
      </c>
      <c r="G108" s="51">
        <v>-9.9999999179090082E-6</v>
      </c>
      <c r="H108" s="51">
        <v>-9.9999999179090082E-6</v>
      </c>
      <c r="I108" s="51">
        <v>-9.9999999179090082E-6</v>
      </c>
      <c r="K108" s="51">
        <v>805.21235999999999</v>
      </c>
      <c r="L108" s="51">
        <v>61.939400000000091</v>
      </c>
      <c r="M108" s="51">
        <v>-309.69707999999991</v>
      </c>
      <c r="N108" s="51">
        <v>-154.84852000000018</v>
      </c>
      <c r="O108" s="51">
        <v>0</v>
      </c>
      <c r="P108" s="51">
        <v>0</v>
      </c>
      <c r="Q108" s="51">
        <v>-9.9999999179090082E-6</v>
      </c>
    </row>
    <row r="109" spans="1:17" x14ac:dyDescent="0.3">
      <c r="A109" s="50">
        <v>1505632618</v>
      </c>
      <c r="B109" s="49" t="s">
        <v>610</v>
      </c>
      <c r="C109" s="51">
        <v>3043.3161700000001</v>
      </c>
      <c r="D109" s="51">
        <v>6352.6843164818756</v>
      </c>
      <c r="E109" s="51">
        <v>13659.899955520305</v>
      </c>
      <c r="F109" s="51">
        <v>10607.278530757341</v>
      </c>
      <c r="G109" s="51">
        <v>7627.3785776342575</v>
      </c>
      <c r="H109" s="51">
        <v>6362.2959948060543</v>
      </c>
      <c r="I109" s="51">
        <v>5097.2134119778511</v>
      </c>
      <c r="K109" s="51">
        <v>-3309.3681464818756</v>
      </c>
      <c r="L109" s="51">
        <v>-7307.2156390384289</v>
      </c>
      <c r="M109" s="51">
        <v>3052.6214247629632</v>
      </c>
      <c r="N109" s="51">
        <v>2979.8999531230838</v>
      </c>
      <c r="O109" s="51">
        <v>1265.0825828282032</v>
      </c>
      <c r="P109" s="51">
        <v>1265.0825828282032</v>
      </c>
      <c r="Q109" s="51">
        <v>5097.2134119778511</v>
      </c>
    </row>
    <row r="110" spans="1:17" x14ac:dyDescent="0.3">
      <c r="A110" s="50">
        <v>1505123245</v>
      </c>
      <c r="B110" s="49" t="s">
        <v>611</v>
      </c>
      <c r="C110" s="51">
        <v>15557.92733</v>
      </c>
      <c r="D110" s="51">
        <v>14538.953739999997</v>
      </c>
      <c r="E110" s="51">
        <v>13513.456159999996</v>
      </c>
      <c r="F110" s="51">
        <v>12735.990411867184</v>
      </c>
      <c r="G110" s="51">
        <v>12695.510991339226</v>
      </c>
      <c r="H110" s="51">
        <v>11758.454386759733</v>
      </c>
      <c r="I110" s="51">
        <v>10782.064106940612</v>
      </c>
      <c r="K110" s="51">
        <v>1018.9735900000032</v>
      </c>
      <c r="L110" s="51">
        <v>1025.4975800000011</v>
      </c>
      <c r="M110" s="51">
        <v>777.46574813281222</v>
      </c>
      <c r="N110" s="51">
        <v>40.4794205279577</v>
      </c>
      <c r="O110" s="51">
        <v>937.05660457949307</v>
      </c>
      <c r="P110" s="51">
        <v>976.39027981912113</v>
      </c>
      <c r="Q110" s="51">
        <v>10782.064106940612</v>
      </c>
    </row>
    <row r="111" spans="1:17" x14ac:dyDescent="0.3">
      <c r="A111" s="82">
        <v>1505638826</v>
      </c>
      <c r="B111" s="49" t="s">
        <v>612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</row>
    <row r="112" spans="1:17" x14ac:dyDescent="0.3">
      <c r="A112" s="82">
        <v>1505638818</v>
      </c>
      <c r="B112" s="49" t="s">
        <v>613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</row>
    <row r="113" spans="1:17" x14ac:dyDescent="0.3">
      <c r="A113" s="82">
        <v>1505656617</v>
      </c>
      <c r="B113" s="49" t="s">
        <v>614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</row>
    <row r="114" spans="1:17" x14ac:dyDescent="0.3">
      <c r="A114" s="82">
        <v>1505689625</v>
      </c>
      <c r="B114" s="49" t="s">
        <v>635</v>
      </c>
      <c r="C114" s="51">
        <v>0</v>
      </c>
      <c r="D114" s="51">
        <v>1635.4897876539364</v>
      </c>
      <c r="E114" s="51">
        <v>-2120.0154840291957</v>
      </c>
      <c r="F114" s="51">
        <v>-2120.0154840291957</v>
      </c>
      <c r="G114" s="51">
        <v>-2120.0154840291957</v>
      </c>
      <c r="H114" s="51">
        <v>-2120.0154840291957</v>
      </c>
      <c r="I114" s="51">
        <v>-2120.0154840291957</v>
      </c>
      <c r="K114" s="51">
        <v>1635.4897876539364</v>
      </c>
      <c r="L114" s="51">
        <v>-3755.5052716831324</v>
      </c>
      <c r="M114" s="51">
        <v>0</v>
      </c>
      <c r="N114" s="51">
        <v>0</v>
      </c>
      <c r="O114" s="51">
        <v>0</v>
      </c>
      <c r="P114" s="51">
        <v>0</v>
      </c>
      <c r="Q114" s="51">
        <v>2120.0154840291957</v>
      </c>
    </row>
    <row r="115" spans="1:17" x14ac:dyDescent="0.3">
      <c r="A115" s="82">
        <v>1505689633</v>
      </c>
      <c r="B115" s="49" t="s">
        <v>636</v>
      </c>
      <c r="C115" s="51">
        <v>0</v>
      </c>
      <c r="D115" s="51">
        <v>4830.4985565282841</v>
      </c>
      <c r="E115" s="51">
        <v>2120.0154772685974</v>
      </c>
      <c r="F115" s="51">
        <v>2120.0154772685974</v>
      </c>
      <c r="G115" s="51">
        <v>2120.0154772685974</v>
      </c>
      <c r="H115" s="51">
        <v>2120.0154772685974</v>
      </c>
      <c r="I115" s="51">
        <v>2120.0154772685974</v>
      </c>
      <c r="K115" s="51">
        <v>4830.4985565282841</v>
      </c>
      <c r="L115" s="51">
        <v>-2710.4830792596867</v>
      </c>
      <c r="M115" s="51">
        <v>0</v>
      </c>
      <c r="N115" s="51">
        <v>0</v>
      </c>
      <c r="O115" s="51">
        <v>0</v>
      </c>
      <c r="P115" s="51">
        <v>0</v>
      </c>
      <c r="Q115" s="51">
        <v>-2120.0154772685974</v>
      </c>
    </row>
    <row r="116" spans="1:17" x14ac:dyDescent="0.3">
      <c r="A116" s="50">
        <v>1505124624</v>
      </c>
      <c r="B116" s="49" t="s">
        <v>615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</row>
    <row r="117" spans="1:17" x14ac:dyDescent="0.3">
      <c r="A117" s="50">
        <v>1505630022</v>
      </c>
      <c r="B117" s="49" t="s">
        <v>616</v>
      </c>
      <c r="C117" s="51">
        <v>409</v>
      </c>
      <c r="D117" s="51">
        <v>2683.2486289819672</v>
      </c>
      <c r="E117" s="51">
        <v>816.54758137644149</v>
      </c>
      <c r="F117" s="51">
        <v>998.66801604341981</v>
      </c>
      <c r="G117" s="51">
        <v>396.69979183365922</v>
      </c>
      <c r="H117" s="51">
        <v>534.28931031314551</v>
      </c>
      <c r="I117" s="51">
        <v>-67.1867760133091</v>
      </c>
      <c r="K117" s="51">
        <v>2274.2486289819672</v>
      </c>
      <c r="L117" s="51">
        <v>-1866.7010476055257</v>
      </c>
      <c r="M117" s="51">
        <v>182.12043466697833</v>
      </c>
      <c r="N117" s="51">
        <v>-601.96822420976059</v>
      </c>
      <c r="O117" s="51">
        <v>137.58951847948629</v>
      </c>
      <c r="P117" s="51">
        <v>-601.47608632645461</v>
      </c>
      <c r="Q117" s="51">
        <v>67.1867760133091</v>
      </c>
    </row>
    <row r="118" spans="1:17" x14ac:dyDescent="0.3">
      <c r="A118" s="50">
        <v>1505629022</v>
      </c>
      <c r="B118" s="49" t="s">
        <v>617</v>
      </c>
      <c r="C118" s="51">
        <v>231.803</v>
      </c>
      <c r="D118" s="51">
        <v>242.78201949411385</v>
      </c>
      <c r="E118" s="51">
        <v>40.615493873234769</v>
      </c>
      <c r="F118" s="51">
        <v>115.96501926537259</v>
      </c>
      <c r="G118" s="51">
        <v>176.1474121039999</v>
      </c>
      <c r="H118" s="51">
        <v>314.78891957538031</v>
      </c>
      <c r="I118" s="51">
        <v>566.00197449850464</v>
      </c>
      <c r="K118" s="51">
        <v>10.979019494113857</v>
      </c>
      <c r="L118" s="51">
        <v>-202.1665256208791</v>
      </c>
      <c r="M118" s="51">
        <v>75.349525392137821</v>
      </c>
      <c r="N118" s="51">
        <v>60.182392838627308</v>
      </c>
      <c r="O118" s="51">
        <v>138.64150747138041</v>
      </c>
      <c r="P118" s="51">
        <v>251.21305492312433</v>
      </c>
      <c r="Q118" s="51">
        <v>-566.00197449850464</v>
      </c>
    </row>
    <row r="119" spans="1:17" x14ac:dyDescent="0.3">
      <c r="A119" s="50">
        <v>1505135418</v>
      </c>
      <c r="B119" s="49" t="s">
        <v>618</v>
      </c>
      <c r="C119" s="51">
        <v>106.28749999999997</v>
      </c>
      <c r="D119" s="51">
        <v>458.95028000000002</v>
      </c>
      <c r="E119" s="51">
        <v>-3.9999999927431418E-5</v>
      </c>
      <c r="F119" s="51">
        <v>-3.9999999927431418E-5</v>
      </c>
      <c r="G119" s="51">
        <v>-3.9999999927431418E-5</v>
      </c>
      <c r="H119" s="51">
        <v>-3.9999999927431418E-5</v>
      </c>
      <c r="I119" s="51">
        <v>-3.9999999927431418E-5</v>
      </c>
      <c r="K119" s="51">
        <v>352.66278000000005</v>
      </c>
      <c r="L119" s="51">
        <v>-458.95031999999992</v>
      </c>
      <c r="M119" s="51">
        <v>0</v>
      </c>
      <c r="N119" s="51">
        <v>0</v>
      </c>
      <c r="O119" s="51">
        <v>0</v>
      </c>
      <c r="P119" s="51">
        <v>0</v>
      </c>
      <c r="Q119" s="51">
        <v>3.9999999927431418E-5</v>
      </c>
    </row>
    <row r="120" spans="1:17" x14ac:dyDescent="0.3">
      <c r="A120" s="50">
        <v>1505295022</v>
      </c>
      <c r="B120" s="49" t="s">
        <v>637</v>
      </c>
      <c r="C120" s="51">
        <v>1907.1000000000001</v>
      </c>
      <c r="D120" s="51">
        <v>1186.67498</v>
      </c>
      <c r="E120" s="51">
        <v>-4.0000000069539965E-5</v>
      </c>
      <c r="F120" s="51">
        <v>-4.0000000069539965E-5</v>
      </c>
      <c r="G120" s="51">
        <v>-4.0000000069539965E-5</v>
      </c>
      <c r="H120" s="51">
        <v>-4.0000000069539965E-5</v>
      </c>
      <c r="I120" s="51">
        <v>-4.0000000069539965E-5</v>
      </c>
      <c r="K120" s="51">
        <v>-720.42502000000013</v>
      </c>
      <c r="L120" s="51">
        <v>-1186.6750200000001</v>
      </c>
      <c r="M120" s="51">
        <v>0</v>
      </c>
      <c r="N120" s="51">
        <v>0</v>
      </c>
      <c r="O120" s="51">
        <v>0</v>
      </c>
      <c r="P120" s="51">
        <v>0</v>
      </c>
      <c r="Q120" s="51">
        <v>4.0000000069539965E-5</v>
      </c>
    </row>
    <row r="121" spans="1:17" x14ac:dyDescent="0.3">
      <c r="A121" s="50">
        <v>1505295028</v>
      </c>
      <c r="B121" s="49" t="s">
        <v>619</v>
      </c>
      <c r="C121" s="51">
        <v>37109.884600000005</v>
      </c>
      <c r="D121" s="51">
        <v>35676.346276413948</v>
      </c>
      <c r="E121" s="51">
        <v>34242.970837235094</v>
      </c>
      <c r="F121" s="51">
        <v>32805.66834205851</v>
      </c>
      <c r="G121" s="51">
        <v>31372.292902879715</v>
      </c>
      <c r="H121" s="51">
        <v>29938.917463700946</v>
      </c>
      <c r="I121" s="51">
        <v>28505.542024522212</v>
      </c>
      <c r="K121" s="51">
        <v>-1433.5383235860572</v>
      </c>
      <c r="L121" s="51">
        <v>-1433.3754391788534</v>
      </c>
      <c r="M121" s="51">
        <v>-1437.3024951765838</v>
      </c>
      <c r="N121" s="51">
        <v>-1433.3754391787952</v>
      </c>
      <c r="O121" s="51">
        <v>-1433.3754391787697</v>
      </c>
      <c r="P121" s="51">
        <v>-1433.3754391787334</v>
      </c>
      <c r="Q121" s="51">
        <v>-28505.542024522212</v>
      </c>
    </row>
    <row r="122" spans="1:17" x14ac:dyDescent="0.3">
      <c r="A122" s="50">
        <v>1505517822</v>
      </c>
      <c r="B122" s="49" t="s">
        <v>620</v>
      </c>
      <c r="C122" s="51">
        <v>722.64585999999997</v>
      </c>
      <c r="D122" s="51">
        <v>906.53752999999983</v>
      </c>
      <c r="E122" s="51">
        <v>732.67919999999947</v>
      </c>
      <c r="F122" s="51">
        <v>645.74999999999932</v>
      </c>
      <c r="G122" s="51">
        <v>645.74999999999932</v>
      </c>
      <c r="H122" s="51">
        <v>645.74999999999932</v>
      </c>
      <c r="I122" s="51">
        <v>645.74999999999932</v>
      </c>
      <c r="K122" s="51">
        <v>183.89166999999986</v>
      </c>
      <c r="L122" s="51">
        <v>-173.85833000000036</v>
      </c>
      <c r="M122" s="51">
        <v>-86.929200000000151</v>
      </c>
      <c r="N122" s="51">
        <v>0</v>
      </c>
      <c r="O122" s="51">
        <v>0</v>
      </c>
      <c r="P122" s="51">
        <v>0</v>
      </c>
      <c r="Q122" s="51">
        <v>-645.74999999999932</v>
      </c>
    </row>
    <row r="123" spans="1:17" x14ac:dyDescent="0.3">
      <c r="A123" s="10">
        <v>1505761022</v>
      </c>
      <c r="B123" s="10" t="s">
        <v>1027</v>
      </c>
      <c r="C123" s="51">
        <v>0</v>
      </c>
      <c r="D123" s="51">
        <v>2390.4720000000002</v>
      </c>
      <c r="E123" s="51">
        <v>2071.7424000000015</v>
      </c>
      <c r="F123" s="51">
        <v>1593.6480000000006</v>
      </c>
      <c r="G123" s="51">
        <v>1115.5535999999997</v>
      </c>
      <c r="H123" s="51">
        <v>637.45920000000001</v>
      </c>
      <c r="I123" s="51">
        <v>159.3648</v>
      </c>
      <c r="K123" s="51">
        <v>2390.4720000000002</v>
      </c>
      <c r="L123" s="51">
        <v>-318.72959999999875</v>
      </c>
      <c r="M123" s="51">
        <v>-478.09440000000086</v>
      </c>
      <c r="N123" s="51">
        <v>-478.09440000000086</v>
      </c>
      <c r="O123" s="51">
        <v>-478.09439999999972</v>
      </c>
      <c r="P123" s="51">
        <v>-478.09440000000001</v>
      </c>
      <c r="Q123" s="51">
        <v>-159.3648</v>
      </c>
    </row>
    <row r="125" spans="1:17" x14ac:dyDescent="0.3">
      <c r="A125" s="10">
        <v>1505060861</v>
      </c>
      <c r="B125" s="10" t="s">
        <v>451</v>
      </c>
    </row>
    <row r="126" spans="1:17" x14ac:dyDescent="0.3">
      <c r="A126" s="10">
        <v>1505211417</v>
      </c>
      <c r="B126" s="10" t="s">
        <v>452</v>
      </c>
      <c r="D126" s="51">
        <v>39580.556959999994</v>
      </c>
      <c r="E126" s="51">
        <v>116781.42894</v>
      </c>
      <c r="F126" s="51">
        <v>0</v>
      </c>
      <c r="G126" s="51">
        <v>0</v>
      </c>
      <c r="H126" s="51">
        <v>0</v>
      </c>
      <c r="I126" s="51">
        <v>0</v>
      </c>
    </row>
    <row r="127" spans="1:17" x14ac:dyDescent="0.3">
      <c r="A127" s="10">
        <v>1505430017</v>
      </c>
      <c r="B127" s="10" t="s">
        <v>453</v>
      </c>
      <c r="D127" s="51">
        <v>232519.88607269039</v>
      </c>
      <c r="E127" s="51">
        <v>262193.71243931778</v>
      </c>
      <c r="F127" s="51">
        <v>273070.29019087908</v>
      </c>
      <c r="G127" s="51">
        <v>283415.55445231491</v>
      </c>
      <c r="H127" s="51">
        <v>293275.02078390837</v>
      </c>
      <c r="I127" s="51">
        <v>293708.04619531526</v>
      </c>
    </row>
    <row r="128" spans="1:17" x14ac:dyDescent="0.3">
      <c r="A128" s="10">
        <v>1505060884</v>
      </c>
      <c r="B128" s="10" t="s">
        <v>98</v>
      </c>
      <c r="D128" s="51">
        <v>357637.83652557101</v>
      </c>
      <c r="E128" s="51">
        <v>362776.1905068669</v>
      </c>
      <c r="F128" s="51">
        <v>340662.39373175497</v>
      </c>
      <c r="G128" s="51">
        <v>327769.45504698082</v>
      </c>
      <c r="H128" s="51">
        <v>327137.05867341667</v>
      </c>
      <c r="I128" s="51">
        <v>304795.68334765447</v>
      </c>
    </row>
    <row r="129" spans="1:9" x14ac:dyDescent="0.3">
      <c r="A129" s="10">
        <v>1505060898</v>
      </c>
      <c r="B129" s="10" t="s">
        <v>454</v>
      </c>
      <c r="D129" s="51">
        <v>3877.1273910306431</v>
      </c>
      <c r="E129" s="51">
        <v>22060.337698195905</v>
      </c>
      <c r="F129" s="51">
        <v>36102.358254812272</v>
      </c>
      <c r="G129" s="51">
        <v>35375.443736691785</v>
      </c>
      <c r="H129" s="51">
        <v>39171.0288127979</v>
      </c>
      <c r="I129" s="51">
        <v>44276.100249024748</v>
      </c>
    </row>
    <row r="130" spans="1:9" x14ac:dyDescent="0.3">
      <c r="A130" s="10">
        <v>1505564024</v>
      </c>
      <c r="B130" s="10" t="s">
        <v>455</v>
      </c>
      <c r="D130" s="51">
        <v>5307.8335077297997</v>
      </c>
      <c r="E130" s="51">
        <v>8764.0222662039978</v>
      </c>
      <c r="F130" s="51">
        <v>12754.953784542004</v>
      </c>
      <c r="G130" s="51">
        <v>15216.676151921396</v>
      </c>
      <c r="H130" s="51">
        <v>15689.396359015196</v>
      </c>
      <c r="I130" s="51">
        <v>18445.494595911299</v>
      </c>
    </row>
    <row r="132" spans="1:9" x14ac:dyDescent="0.3">
      <c r="A132" s="10">
        <v>1500391482</v>
      </c>
      <c r="B132" s="10" t="s">
        <v>456</v>
      </c>
    </row>
    <row r="133" spans="1:9" x14ac:dyDescent="0.3">
      <c r="A133" s="10">
        <v>1504987218</v>
      </c>
      <c r="B133" s="10" t="s">
        <v>457</v>
      </c>
    </row>
    <row r="134" spans="1:9" x14ac:dyDescent="0.3">
      <c r="A134" s="10">
        <v>1500391492</v>
      </c>
      <c r="B134" s="10" t="s">
        <v>458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</row>
    <row r="135" spans="1:9" x14ac:dyDescent="0.3">
      <c r="A135" s="10">
        <v>1500391497</v>
      </c>
      <c r="B135" s="10" t="s">
        <v>459</v>
      </c>
      <c r="D135" s="51">
        <v>-380</v>
      </c>
      <c r="E135" s="51">
        <v>-380</v>
      </c>
      <c r="F135" s="51">
        <v>-380</v>
      </c>
      <c r="G135" s="51">
        <v>-380</v>
      </c>
      <c r="H135" s="51">
        <v>-380</v>
      </c>
      <c r="I135" s="51">
        <v>-380</v>
      </c>
    </row>
    <row r="139" spans="1:9" x14ac:dyDescent="0.3">
      <c r="A139" s="10">
        <v>6574</v>
      </c>
      <c r="B139" s="10" t="s">
        <v>460</v>
      </c>
    </row>
    <row r="140" spans="1:9" x14ac:dyDescent="0.3">
      <c r="A140" s="10">
        <v>1505519819</v>
      </c>
      <c r="B140" s="10" t="s">
        <v>461</v>
      </c>
      <c r="D140" s="51">
        <v>-820</v>
      </c>
      <c r="E140" s="51">
        <v>-820</v>
      </c>
      <c r="F140" s="51">
        <v>3730.4059999999999</v>
      </c>
      <c r="G140" s="51">
        <v>0</v>
      </c>
      <c r="H140" s="51">
        <v>0</v>
      </c>
      <c r="I140" s="51">
        <v>0</v>
      </c>
    </row>
    <row r="141" spans="1:9" x14ac:dyDescent="0.3">
      <c r="A141" s="10">
        <v>1505412020</v>
      </c>
      <c r="B141" s="10" t="s">
        <v>462</v>
      </c>
      <c r="D141" s="51">
        <v>-7438.1994196105834</v>
      </c>
      <c r="E141" s="51">
        <v>-9967.9447966139287</v>
      </c>
      <c r="F141" s="51">
        <v>-10762.97328142231</v>
      </c>
      <c r="G141" s="51">
        <v>-11563.211009999999</v>
      </c>
      <c r="H141" s="51">
        <v>-10331.1543</v>
      </c>
      <c r="I141" s="51">
        <v>-12503.554</v>
      </c>
    </row>
    <row r="142" spans="1:9" x14ac:dyDescent="0.3">
      <c r="A142" s="10">
        <v>1505157024</v>
      </c>
      <c r="B142" s="10" t="s">
        <v>463</v>
      </c>
      <c r="D142" s="51">
        <v>119.81811518706166</v>
      </c>
      <c r="E142" s="51">
        <v>119.81811518706166</v>
      </c>
      <c r="F142" s="51">
        <v>119.81811518706166</v>
      </c>
      <c r="G142" s="51">
        <v>119.81811518706166</v>
      </c>
      <c r="H142" s="51">
        <v>119.81811518706166</v>
      </c>
      <c r="I142" s="51">
        <v>119.81811518706166</v>
      </c>
    </row>
    <row r="143" spans="1:9" x14ac:dyDescent="0.3">
      <c r="A143" s="10">
        <v>1504981219</v>
      </c>
      <c r="B143" s="10" t="s">
        <v>464</v>
      </c>
      <c r="D143" s="51">
        <v>-516.25842199028409</v>
      </c>
      <c r="E143" s="51">
        <v>-516.25842199028409</v>
      </c>
      <c r="F143" s="51">
        <v>-516.25842199028409</v>
      </c>
      <c r="G143" s="51">
        <v>-516.25842199028409</v>
      </c>
      <c r="H143" s="51">
        <v>-516.25842199028409</v>
      </c>
      <c r="I143" s="51">
        <v>-516.25842199028409</v>
      </c>
    </row>
    <row r="144" spans="1:9" x14ac:dyDescent="0.3">
      <c r="A144" s="10">
        <v>1505156017</v>
      </c>
      <c r="B144" s="10" t="s">
        <v>465</v>
      </c>
      <c r="D144" s="51">
        <v>-611.45227063990683</v>
      </c>
      <c r="E144" s="51">
        <v>-515.85227063990772</v>
      </c>
      <c r="F144" s="51">
        <v>-445.84227063990733</v>
      </c>
      <c r="G144" s="51">
        <v>-425.04227063990771</v>
      </c>
      <c r="H144" s="51">
        <v>-415.58227063990688</v>
      </c>
      <c r="I144" s="51">
        <v>-407.65827063990719</v>
      </c>
    </row>
    <row r="145" spans="1:9" x14ac:dyDescent="0.3">
      <c r="A145" s="10">
        <v>1505412018</v>
      </c>
      <c r="B145" s="10" t="s">
        <v>466</v>
      </c>
      <c r="D145" s="51">
        <v>-896.60898924050798</v>
      </c>
      <c r="E145" s="51">
        <v>-1166.632870886076</v>
      </c>
      <c r="F145" s="51">
        <v>-1102.9478696202559</v>
      </c>
      <c r="G145" s="51">
        <v>-1031.7190000000001</v>
      </c>
      <c r="H145" s="51">
        <v>-1051.77</v>
      </c>
      <c r="I145" s="51">
        <v>-1012.9</v>
      </c>
    </row>
    <row r="146" spans="1:9" x14ac:dyDescent="0.3">
      <c r="A146" s="10">
        <v>1505729820</v>
      </c>
      <c r="B146" s="10" t="s">
        <v>621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</row>
    <row r="147" spans="1:9" x14ac:dyDescent="0.3">
      <c r="A147" s="10">
        <v>1505157025</v>
      </c>
      <c r="B147" s="10" t="s">
        <v>467</v>
      </c>
      <c r="D147" s="51">
        <v>25.812921099514195</v>
      </c>
      <c r="E147" s="51">
        <v>25.812921099514195</v>
      </c>
      <c r="F147" s="51">
        <v>25.812921099514195</v>
      </c>
      <c r="G147" s="51">
        <v>25.812921099514195</v>
      </c>
      <c r="H147" s="51">
        <v>25.812921099514195</v>
      </c>
      <c r="I147" s="51">
        <v>25.812921099514195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workbookViewId="0">
      <selection activeCell="I42" sqref="I41:I42"/>
    </sheetView>
  </sheetViews>
  <sheetFormatPr defaultColWidth="9.109375" defaultRowHeight="13.2" x14ac:dyDescent="0.25"/>
  <cols>
    <col min="1" max="1" width="19.44140625" style="90" customWidth="1"/>
    <col min="2" max="2" width="9.5546875" style="90" bestFit="1" customWidth="1"/>
    <col min="3" max="3" width="13.6640625" style="90" bestFit="1" customWidth="1"/>
    <col min="4" max="4" width="12.88671875" style="90" bestFit="1" customWidth="1"/>
    <col min="5" max="5" width="14" style="90" customWidth="1"/>
    <col min="6" max="8" width="12.88671875" style="90" bestFit="1" customWidth="1"/>
    <col min="9" max="13" width="12.33203125" style="90" customWidth="1"/>
    <col min="14" max="16384" width="9.109375" style="90"/>
  </cols>
  <sheetData>
    <row r="1" spans="1:12" x14ac:dyDescent="0.25">
      <c r="A1" s="89" t="s">
        <v>903</v>
      </c>
    </row>
    <row r="2" spans="1:12" x14ac:dyDescent="0.25">
      <c r="E2" s="89" t="s">
        <v>468</v>
      </c>
      <c r="I2" s="91" t="s">
        <v>904</v>
      </c>
      <c r="J2" s="91" t="s">
        <v>905</v>
      </c>
    </row>
    <row r="3" spans="1:12" x14ac:dyDescent="0.25">
      <c r="A3" s="92" t="s">
        <v>906</v>
      </c>
      <c r="E3" s="93" t="s">
        <v>469</v>
      </c>
      <c r="I3" s="91" t="s">
        <v>470</v>
      </c>
      <c r="J3" s="91" t="s">
        <v>470</v>
      </c>
    </row>
    <row r="4" spans="1:12" x14ac:dyDescent="0.25">
      <c r="E4" s="91"/>
      <c r="I4" s="91"/>
      <c r="J4" s="91"/>
    </row>
    <row r="5" spans="1:12" ht="14.4" x14ac:dyDescent="0.3">
      <c r="A5" s="94"/>
      <c r="B5" s="95"/>
      <c r="C5" s="96"/>
      <c r="E5" s="90" t="s">
        <v>471</v>
      </c>
      <c r="I5" s="97">
        <v>0.35</v>
      </c>
      <c r="J5" s="97">
        <v>0.21</v>
      </c>
      <c r="L5" s="98"/>
    </row>
    <row r="6" spans="1:12" ht="14.4" x14ac:dyDescent="0.3">
      <c r="A6" s="99"/>
      <c r="B6" s="95" t="s">
        <v>472</v>
      </c>
      <c r="C6" s="100" t="s">
        <v>473</v>
      </c>
      <c r="E6" s="90" t="s">
        <v>474</v>
      </c>
      <c r="I6" s="97">
        <v>0.06</v>
      </c>
      <c r="J6" s="97">
        <v>0.05</v>
      </c>
      <c r="L6" s="98"/>
    </row>
    <row r="7" spans="1:12" ht="14.4" x14ac:dyDescent="0.3">
      <c r="A7" s="95" t="s">
        <v>475</v>
      </c>
      <c r="B7" s="101"/>
      <c r="C7" s="101"/>
      <c r="E7" s="90" t="s">
        <v>476</v>
      </c>
      <c r="I7" s="97">
        <f>I6*-I5</f>
        <v>-2.0999999999999998E-2</v>
      </c>
      <c r="J7" s="97">
        <f>J6*-J5</f>
        <v>-1.0500000000000001E-2</v>
      </c>
      <c r="L7" s="98"/>
    </row>
    <row r="8" spans="1:12" ht="15" thickBot="1" x14ac:dyDescent="0.35">
      <c r="A8" s="95" t="s">
        <v>477</v>
      </c>
      <c r="B8" s="101"/>
      <c r="C8" s="102">
        <v>4278011.13</v>
      </c>
      <c r="E8" s="90" t="s">
        <v>478</v>
      </c>
      <c r="I8" s="103">
        <f>I5+I6+I7</f>
        <v>0.38899999999999996</v>
      </c>
      <c r="J8" s="104">
        <f>J5+J6+J7</f>
        <v>0.2495</v>
      </c>
      <c r="L8" s="98"/>
    </row>
    <row r="9" spans="1:12" ht="15" thickTop="1" x14ac:dyDescent="0.3">
      <c r="A9" s="95" t="s">
        <v>479</v>
      </c>
      <c r="B9" s="101"/>
      <c r="C9" s="102">
        <v>1422203.77</v>
      </c>
      <c r="L9" s="98"/>
    </row>
    <row r="10" spans="1:12" ht="14.4" x14ac:dyDescent="0.3">
      <c r="A10" s="95" t="s">
        <v>480</v>
      </c>
      <c r="B10" s="101"/>
      <c r="C10" s="102">
        <v>1072184.04</v>
      </c>
      <c r="E10" s="90" t="s">
        <v>481</v>
      </c>
      <c r="L10" s="98"/>
    </row>
    <row r="11" spans="1:12" ht="14.4" x14ac:dyDescent="0.3">
      <c r="A11" s="95" t="s">
        <v>482</v>
      </c>
      <c r="B11" s="101"/>
      <c r="C11" s="102">
        <v>356442.06</v>
      </c>
      <c r="E11" s="90" t="s">
        <v>483</v>
      </c>
      <c r="L11" s="98"/>
    </row>
    <row r="12" spans="1:12" ht="14.4" x14ac:dyDescent="0.3">
      <c r="A12" s="95" t="s">
        <v>484</v>
      </c>
      <c r="B12" s="101"/>
      <c r="C12" s="102">
        <v>-395411946.42000002</v>
      </c>
      <c r="L12" s="98"/>
    </row>
    <row r="13" spans="1:12" x14ac:dyDescent="0.25">
      <c r="A13" s="95" t="s">
        <v>485</v>
      </c>
      <c r="B13" s="101"/>
      <c r="C13" s="102">
        <v>-113434067.62</v>
      </c>
      <c r="E13" s="105" t="s">
        <v>486</v>
      </c>
      <c r="I13" s="90">
        <f>1/(1-I8)</f>
        <v>1.6366612111292962</v>
      </c>
      <c r="J13" s="90">
        <f>1/(1-J8)</f>
        <v>1.3324450366422387</v>
      </c>
    </row>
    <row r="14" spans="1:12" x14ac:dyDescent="0.25">
      <c r="A14" s="95" t="s">
        <v>487</v>
      </c>
      <c r="B14" s="101"/>
      <c r="C14" s="102">
        <v>-15826647.189999999</v>
      </c>
      <c r="E14" s="106" t="s">
        <v>489</v>
      </c>
    </row>
    <row r="15" spans="1:12" x14ac:dyDescent="0.25">
      <c r="A15" s="95" t="s">
        <v>488</v>
      </c>
      <c r="B15" s="101"/>
      <c r="C15" s="102">
        <v>-28429720.239999998</v>
      </c>
    </row>
    <row r="16" spans="1:12" x14ac:dyDescent="0.25">
      <c r="A16" s="95" t="s">
        <v>490</v>
      </c>
      <c r="B16" s="101"/>
      <c r="C16" s="107">
        <f>SUM(C8:C15)</f>
        <v>-545973540.47000003</v>
      </c>
      <c r="E16" s="105" t="s">
        <v>491</v>
      </c>
      <c r="I16" s="90">
        <f>I13-1</f>
        <v>0.63666121112929619</v>
      </c>
      <c r="J16" s="90">
        <f>J13-1</f>
        <v>0.33244503664223868</v>
      </c>
    </row>
    <row r="17" spans="1:13" x14ac:dyDescent="0.25">
      <c r="C17" s="108">
        <f>-561465562-C16</f>
        <v>-15492021.529999971</v>
      </c>
      <c r="E17" s="106" t="s">
        <v>492</v>
      </c>
    </row>
    <row r="19" spans="1:13" x14ac:dyDescent="0.25">
      <c r="C19" s="108"/>
      <c r="F19" s="84"/>
      <c r="G19" s="84"/>
      <c r="H19" s="84"/>
      <c r="I19" s="84"/>
      <c r="J19" s="84"/>
      <c r="K19" s="84"/>
      <c r="L19" s="84"/>
      <c r="M19" s="84"/>
    </row>
    <row r="20" spans="1:13" ht="15" x14ac:dyDescent="0.4">
      <c r="A20" s="109" t="s">
        <v>265</v>
      </c>
      <c r="C20" s="110" t="s">
        <v>946</v>
      </c>
      <c r="D20" s="110" t="s">
        <v>277</v>
      </c>
      <c r="E20" s="110" t="s">
        <v>278</v>
      </c>
      <c r="F20" s="85"/>
      <c r="G20" s="85"/>
      <c r="H20" s="85"/>
      <c r="I20" s="85"/>
      <c r="J20" s="85"/>
      <c r="K20" s="85"/>
      <c r="L20" s="85"/>
      <c r="M20" s="84"/>
    </row>
    <row r="21" spans="1:13" x14ac:dyDescent="0.25">
      <c r="A21" s="90" t="s">
        <v>925</v>
      </c>
      <c r="B21" s="53"/>
      <c r="C21" s="53">
        <f>SUM(C8:C11)+C26</f>
        <v>7031818.3242594432</v>
      </c>
      <c r="D21" s="53">
        <f>+C21+D26</f>
        <v>6837772.9727783296</v>
      </c>
      <c r="E21" s="53">
        <f t="shared" ref="E21:E22" si="0">+D21+E26</f>
        <v>6643727.621297216</v>
      </c>
      <c r="F21" s="83"/>
      <c r="G21" s="83"/>
      <c r="H21" s="83"/>
      <c r="I21" s="83"/>
      <c r="J21" s="83"/>
      <c r="K21" s="83"/>
      <c r="L21" s="83"/>
      <c r="M21" s="84"/>
    </row>
    <row r="22" spans="1:13" x14ac:dyDescent="0.25">
      <c r="A22" s="90" t="s">
        <v>926</v>
      </c>
      <c r="B22" s="111"/>
      <c r="C22" s="111">
        <f>SUM(C12:C15)+C27</f>
        <v>-563466810.15821886</v>
      </c>
      <c r="D22" s="111">
        <f>+C22+D27</f>
        <v>-548287477.95876586</v>
      </c>
      <c r="E22" s="111">
        <f t="shared" si="0"/>
        <v>-532156944.61585611</v>
      </c>
      <c r="F22" s="83"/>
      <c r="G22" s="83"/>
      <c r="H22" s="83"/>
      <c r="I22" s="83"/>
      <c r="J22" s="83"/>
      <c r="K22" s="83"/>
      <c r="L22" s="83"/>
      <c r="M22" s="84"/>
    </row>
    <row r="23" spans="1:13" x14ac:dyDescent="0.25">
      <c r="A23" s="90" t="s">
        <v>927</v>
      </c>
      <c r="B23" s="108"/>
      <c r="C23" s="53">
        <f>SUM(C21:C22)</f>
        <v>-556434991.83395946</v>
      </c>
      <c r="D23" s="53">
        <f>SUM(D21:D22)</f>
        <v>-541449704.98598754</v>
      </c>
      <c r="E23" s="53">
        <f t="shared" ref="E23" si="1">SUM(E21:E22)</f>
        <v>-525513216.99455887</v>
      </c>
      <c r="F23" s="83"/>
      <c r="G23" s="83"/>
      <c r="H23" s="83"/>
      <c r="I23" s="83"/>
      <c r="J23" s="83"/>
      <c r="K23" s="83"/>
      <c r="L23" s="83"/>
      <c r="M23" s="84"/>
    </row>
    <row r="24" spans="1:13" x14ac:dyDescent="0.25">
      <c r="C24" s="112">
        <f>+C23-C54</f>
        <v>0</v>
      </c>
      <c r="D24" s="112">
        <f t="shared" ref="D24:E24" si="2">+D23-D54</f>
        <v>0</v>
      </c>
      <c r="E24" s="112">
        <f t="shared" si="2"/>
        <v>0</v>
      </c>
      <c r="F24" s="113"/>
      <c r="G24" s="113"/>
      <c r="H24" s="113"/>
      <c r="I24" s="113"/>
      <c r="J24" s="113"/>
      <c r="K24" s="113"/>
      <c r="L24" s="113"/>
      <c r="M24" s="84"/>
    </row>
    <row r="25" spans="1:13" ht="15" x14ac:dyDescent="0.4">
      <c r="A25" s="109" t="s">
        <v>912</v>
      </c>
      <c r="C25" s="110" t="s">
        <v>276</v>
      </c>
      <c r="D25" s="110" t="s">
        <v>277</v>
      </c>
      <c r="E25" s="110" t="s">
        <v>278</v>
      </c>
      <c r="F25" s="85"/>
      <c r="G25" s="85"/>
      <c r="H25" s="85"/>
      <c r="I25" s="85"/>
      <c r="J25" s="85"/>
      <c r="K25" s="85"/>
      <c r="L25" s="85"/>
      <c r="M25" s="84"/>
    </row>
    <row r="26" spans="1:13" ht="14.4" x14ac:dyDescent="0.3">
      <c r="A26" s="90" t="s">
        <v>925</v>
      </c>
      <c r="C26" s="114">
        <f>+C43</f>
        <v>-97022.675740556937</v>
      </c>
      <c r="D26" s="114">
        <f t="shared" ref="D26:E26" si="3">+D43</f>
        <v>-194045.35148111387</v>
      </c>
      <c r="E26" s="114">
        <f t="shared" si="3"/>
        <v>-194045.35148111387</v>
      </c>
      <c r="F26" s="115"/>
      <c r="G26" s="115"/>
      <c r="H26" s="115"/>
      <c r="I26" s="115"/>
      <c r="J26" s="115"/>
      <c r="K26" s="115"/>
      <c r="L26" s="115"/>
      <c r="M26" s="116"/>
    </row>
    <row r="27" spans="1:13" ht="14.4" x14ac:dyDescent="0.3">
      <c r="A27" s="90" t="s">
        <v>926</v>
      </c>
      <c r="C27" s="117">
        <f>+C35+C39+C47+C52</f>
        <v>-10364428.688218875</v>
      </c>
      <c r="D27" s="117">
        <f t="shared" ref="D27:E27" si="4">+D35+D39+D47+D52</f>
        <v>15179332.199453017</v>
      </c>
      <c r="E27" s="117">
        <f t="shared" si="4"/>
        <v>16130533.342909781</v>
      </c>
      <c r="F27" s="115"/>
      <c r="G27" s="115"/>
      <c r="H27" s="115"/>
      <c r="I27" s="115"/>
      <c r="J27" s="115"/>
      <c r="K27" s="115"/>
      <c r="L27" s="115"/>
      <c r="M27" s="116"/>
    </row>
    <row r="28" spans="1:13" x14ac:dyDescent="0.25">
      <c r="A28" s="90" t="s">
        <v>927</v>
      </c>
      <c r="C28" s="114">
        <f>SUM(C26:C27)</f>
        <v>-10461451.363959432</v>
      </c>
      <c r="D28" s="114">
        <f t="shared" ref="D28:E28" si="5">SUM(D26:D27)</f>
        <v>14985286.847971903</v>
      </c>
      <c r="E28" s="114">
        <f t="shared" si="5"/>
        <v>15936487.991428668</v>
      </c>
      <c r="F28" s="115"/>
      <c r="G28" s="115"/>
      <c r="H28" s="115"/>
      <c r="I28" s="115"/>
      <c r="J28" s="115"/>
      <c r="K28" s="115"/>
      <c r="L28" s="115"/>
      <c r="M28" s="84"/>
    </row>
    <row r="29" spans="1:13" x14ac:dyDescent="0.25">
      <c r="C29" s="112">
        <f>+C28-SUM(C49:C53)</f>
        <v>0</v>
      </c>
      <c r="D29" s="112">
        <f t="shared" ref="D29:E29" si="6">+D28-SUM(D49:D53)</f>
        <v>0</v>
      </c>
      <c r="E29" s="112">
        <f t="shared" si="6"/>
        <v>0</v>
      </c>
      <c r="F29" s="113"/>
      <c r="G29" s="113"/>
      <c r="H29" s="113"/>
      <c r="I29" s="113"/>
      <c r="J29" s="113"/>
      <c r="K29" s="113"/>
      <c r="L29" s="113"/>
      <c r="M29" s="84"/>
    </row>
    <row r="30" spans="1:13" x14ac:dyDescent="0.25">
      <c r="C30" s="108"/>
      <c r="F30" s="84"/>
      <c r="G30" s="84"/>
      <c r="H30" s="84"/>
      <c r="I30" s="84"/>
      <c r="J30" s="84"/>
      <c r="K30" s="84"/>
      <c r="L30" s="84"/>
      <c r="M30" s="84"/>
    </row>
    <row r="31" spans="1:13" ht="15" x14ac:dyDescent="0.4">
      <c r="A31" s="89" t="s">
        <v>1037</v>
      </c>
      <c r="C31" s="110" t="s">
        <v>276</v>
      </c>
      <c r="D31" s="110" t="s">
        <v>277</v>
      </c>
      <c r="E31" s="110" t="s">
        <v>278</v>
      </c>
      <c r="F31" s="85"/>
      <c r="G31" s="85"/>
      <c r="H31" s="85"/>
      <c r="I31" s="85"/>
      <c r="J31" s="85"/>
      <c r="K31" s="85"/>
      <c r="L31" s="85"/>
      <c r="M31" s="85"/>
    </row>
    <row r="32" spans="1:13" x14ac:dyDescent="0.25">
      <c r="F32" s="84"/>
      <c r="G32" s="84"/>
      <c r="H32" s="84"/>
      <c r="I32" s="84"/>
      <c r="J32" s="84"/>
      <c r="K32" s="84"/>
      <c r="L32" s="84"/>
      <c r="M32" s="84"/>
    </row>
    <row r="33" spans="1:15" x14ac:dyDescent="0.25">
      <c r="A33" s="90" t="s">
        <v>97</v>
      </c>
      <c r="C33" s="130">
        <f>C86/2</f>
        <v>563855.3463150959</v>
      </c>
      <c r="D33" s="53">
        <f>D86</f>
        <v>1032110.6926301917</v>
      </c>
      <c r="E33" s="53">
        <f>E86</f>
        <v>962100.69263019168</v>
      </c>
      <c r="F33" s="83"/>
      <c r="G33" s="83"/>
      <c r="H33" s="83"/>
      <c r="I33" s="83"/>
      <c r="J33" s="83"/>
      <c r="K33" s="83"/>
      <c r="L33" s="83"/>
      <c r="M33" s="83"/>
    </row>
    <row r="34" spans="1:15" x14ac:dyDescent="0.25">
      <c r="A34" s="90" t="s">
        <v>491</v>
      </c>
      <c r="C34" s="118">
        <f>$J$16</f>
        <v>0.33244503664223868</v>
      </c>
      <c r="D34" s="118">
        <f t="shared" ref="D34:E34" si="7">$J$16</f>
        <v>0.33244503664223868</v>
      </c>
      <c r="E34" s="118">
        <f t="shared" si="7"/>
        <v>0.33244503664223868</v>
      </c>
      <c r="F34" s="119"/>
      <c r="G34" s="119"/>
      <c r="H34" s="119"/>
      <c r="I34" s="119"/>
      <c r="J34" s="119"/>
      <c r="K34" s="119"/>
      <c r="L34" s="119"/>
      <c r="M34" s="119"/>
    </row>
    <row r="35" spans="1:15" x14ac:dyDescent="0.25">
      <c r="C35" s="53">
        <f>C33*C34</f>
        <v>187450.91126664422</v>
      </c>
      <c r="D35" s="53">
        <f t="shared" ref="D35:E35" si="8">D33*D34</f>
        <v>343120.07703029044</v>
      </c>
      <c r="E35" s="53">
        <f t="shared" si="8"/>
        <v>319845.60001496726</v>
      </c>
      <c r="F35" s="83"/>
      <c r="G35" s="83"/>
      <c r="H35" s="83"/>
      <c r="I35" s="83"/>
      <c r="J35" s="83"/>
      <c r="K35" s="83"/>
      <c r="L35" s="83"/>
      <c r="M35" s="83"/>
    </row>
    <row r="36" spans="1:15" x14ac:dyDescent="0.25">
      <c r="F36" s="84"/>
      <c r="G36" s="84"/>
      <c r="H36" s="84"/>
      <c r="I36" s="84"/>
      <c r="J36" s="84"/>
      <c r="K36" s="84"/>
      <c r="L36" s="84"/>
      <c r="M36" s="84"/>
    </row>
    <row r="37" spans="1:15" x14ac:dyDescent="0.25">
      <c r="A37" s="90" t="s">
        <v>907</v>
      </c>
      <c r="C37" s="53">
        <v>3155556.5188510958</v>
      </c>
      <c r="D37" s="53">
        <f>D60+D69</f>
        <v>10101016.667500004</v>
      </c>
      <c r="E37" s="53">
        <f>E60+E69</f>
        <v>10836979.117000002</v>
      </c>
      <c r="F37" s="83"/>
      <c r="G37" s="83"/>
      <c r="H37" s="83"/>
      <c r="I37" s="83"/>
      <c r="J37" s="83"/>
      <c r="K37" s="83"/>
      <c r="L37" s="83"/>
      <c r="M37" s="83"/>
      <c r="O37" s="53"/>
    </row>
    <row r="38" spans="1:15" x14ac:dyDescent="0.25">
      <c r="A38" s="90" t="s">
        <v>486</v>
      </c>
      <c r="C38" s="118">
        <f>$J$13</f>
        <v>1.3324450366422387</v>
      </c>
      <c r="D38" s="118">
        <f t="shared" ref="D38:E38" si="9">$J$13</f>
        <v>1.3324450366422387</v>
      </c>
      <c r="E38" s="118">
        <f t="shared" si="9"/>
        <v>1.3324450366422387</v>
      </c>
      <c r="F38" s="119"/>
      <c r="G38" s="119"/>
      <c r="H38" s="119"/>
      <c r="I38" s="119"/>
      <c r="J38" s="119"/>
      <c r="K38" s="119"/>
      <c r="L38" s="119"/>
      <c r="M38" s="119"/>
    </row>
    <row r="39" spans="1:15" x14ac:dyDescent="0.25">
      <c r="C39" s="53">
        <f>C37*C38</f>
        <v>4204605.6213872032</v>
      </c>
      <c r="D39" s="53">
        <f t="shared" ref="D39" si="10">D37*D38</f>
        <v>13459049.523650907</v>
      </c>
      <c r="E39" s="53">
        <f t="shared" ref="E39" si="11">E37*E38</f>
        <v>14439679.036642244</v>
      </c>
      <c r="F39" s="83"/>
      <c r="G39" s="83"/>
      <c r="H39" s="83"/>
      <c r="I39" s="83"/>
      <c r="J39" s="83"/>
      <c r="K39" s="83"/>
      <c r="L39" s="83"/>
      <c r="M39" s="83"/>
    </row>
    <row r="40" spans="1:15" x14ac:dyDescent="0.25">
      <c r="F40" s="84"/>
      <c r="G40" s="84"/>
      <c r="H40" s="84"/>
      <c r="I40" s="84"/>
      <c r="J40" s="84"/>
      <c r="K40" s="84"/>
      <c r="L40" s="84"/>
      <c r="M40" s="84"/>
    </row>
    <row r="41" spans="1:15" x14ac:dyDescent="0.25">
      <c r="A41" s="90" t="s">
        <v>493</v>
      </c>
      <c r="C41" s="130">
        <f>C90/2</f>
        <v>-72815.518143287976</v>
      </c>
      <c r="D41" s="53">
        <f>D90</f>
        <v>-145631.03628657595</v>
      </c>
      <c r="E41" s="53">
        <f>E90</f>
        <v>-145631.03628657595</v>
      </c>
      <c r="F41" s="83"/>
      <c r="G41" s="83"/>
      <c r="H41" s="83"/>
      <c r="I41" s="83"/>
      <c r="J41" s="83"/>
      <c r="K41" s="83"/>
      <c r="L41" s="83"/>
      <c r="M41" s="83"/>
      <c r="N41" s="120"/>
    </row>
    <row r="42" spans="1:15" x14ac:dyDescent="0.25">
      <c r="A42" s="90" t="s">
        <v>486</v>
      </c>
      <c r="C42" s="118">
        <f>$J$13</f>
        <v>1.3324450366422387</v>
      </c>
      <c r="D42" s="118">
        <f t="shared" ref="D42:E42" si="12">$J$13</f>
        <v>1.3324450366422387</v>
      </c>
      <c r="E42" s="118">
        <f t="shared" si="12"/>
        <v>1.3324450366422387</v>
      </c>
      <c r="F42" s="119"/>
      <c r="G42" s="119"/>
      <c r="H42" s="119"/>
      <c r="I42" s="119"/>
      <c r="J42" s="119"/>
      <c r="K42" s="119"/>
      <c r="L42" s="119"/>
      <c r="M42" s="119"/>
    </row>
    <row r="43" spans="1:15" x14ac:dyDescent="0.25">
      <c r="C43" s="53">
        <f>C41*C42</f>
        <v>-97022.675740556937</v>
      </c>
      <c r="D43" s="53">
        <f t="shared" ref="D43" si="13">D41*D42</f>
        <v>-194045.35148111387</v>
      </c>
      <c r="E43" s="53">
        <f t="shared" ref="E43" si="14">E41*E42</f>
        <v>-194045.35148111387</v>
      </c>
      <c r="F43" s="83"/>
      <c r="G43" s="83"/>
      <c r="H43" s="83"/>
      <c r="I43" s="83"/>
      <c r="J43" s="83"/>
      <c r="K43" s="83"/>
      <c r="L43" s="83"/>
      <c r="M43" s="83"/>
    </row>
    <row r="44" spans="1:15" x14ac:dyDescent="0.25">
      <c r="F44" s="84"/>
      <c r="G44" s="84"/>
      <c r="H44" s="84"/>
      <c r="I44" s="83"/>
      <c r="J44" s="83"/>
      <c r="K44" s="83"/>
      <c r="L44" s="83"/>
      <c r="M44" s="83"/>
    </row>
    <row r="45" spans="1:15" x14ac:dyDescent="0.25">
      <c r="A45" s="90" t="s">
        <v>908</v>
      </c>
      <c r="C45" s="53">
        <v>552020</v>
      </c>
      <c r="D45" s="53">
        <f>SUM(D61:D65)+SUM(D70:D72)</f>
        <v>1033560.5303782506</v>
      </c>
      <c r="E45" s="53">
        <f>SUM(E61:E65)+SUM(E70:E72)</f>
        <v>1028942.0340425532</v>
      </c>
      <c r="F45" s="83"/>
      <c r="G45" s="83"/>
      <c r="H45" s="83"/>
      <c r="I45" s="83"/>
      <c r="J45" s="83"/>
      <c r="K45" s="83"/>
      <c r="L45" s="83"/>
      <c r="M45" s="83"/>
    </row>
    <row r="46" spans="1:15" x14ac:dyDescent="0.25">
      <c r="A46" s="90" t="s">
        <v>486</v>
      </c>
      <c r="C46" s="118">
        <f>$J$13</f>
        <v>1.3324450366422387</v>
      </c>
      <c r="D46" s="118">
        <f t="shared" ref="D46:E46" si="15">$J$13</f>
        <v>1.3324450366422387</v>
      </c>
      <c r="E46" s="118">
        <f t="shared" si="15"/>
        <v>1.3324450366422387</v>
      </c>
      <c r="F46" s="119"/>
      <c r="G46" s="119"/>
      <c r="H46" s="119"/>
      <c r="I46" s="83"/>
      <c r="J46" s="83"/>
      <c r="K46" s="83"/>
      <c r="L46" s="83"/>
      <c r="M46" s="83"/>
    </row>
    <row r="47" spans="1:15" x14ac:dyDescent="0.25">
      <c r="C47" s="53">
        <f>C45*C46</f>
        <v>735536.30912724859</v>
      </c>
      <c r="D47" s="53">
        <f t="shared" ref="D47" si="16">D45*D46</f>
        <v>1377162.5987718198</v>
      </c>
      <c r="E47" s="53">
        <f t="shared" ref="E47" si="17">E45*E46</f>
        <v>1371008.7062525693</v>
      </c>
      <c r="F47" s="83"/>
      <c r="G47" s="83"/>
      <c r="H47" s="83"/>
      <c r="I47" s="84"/>
      <c r="J47" s="84"/>
      <c r="K47" s="84"/>
      <c r="L47" s="84"/>
      <c r="M47" s="84"/>
    </row>
    <row r="48" spans="1:15" x14ac:dyDescent="0.25">
      <c r="F48" s="84"/>
      <c r="G48" s="84"/>
      <c r="H48" s="84"/>
      <c r="I48" s="84"/>
      <c r="J48" s="84"/>
      <c r="K48" s="84"/>
      <c r="L48" s="84"/>
      <c r="M48" s="84"/>
    </row>
    <row r="49" spans="1:13" x14ac:dyDescent="0.25">
      <c r="A49" s="90" t="s">
        <v>494</v>
      </c>
      <c r="C49" s="53">
        <f>C35+C39+C43+C47</f>
        <v>5030570.1660405397</v>
      </c>
      <c r="D49" s="53">
        <f t="shared" ref="D49:E49" si="18">D35+D39+D43+D47</f>
        <v>14985286.847971903</v>
      </c>
      <c r="E49" s="53">
        <f t="shared" si="18"/>
        <v>15936487.991428668</v>
      </c>
      <c r="F49" s="83"/>
      <c r="G49" s="83"/>
      <c r="H49" s="83"/>
      <c r="I49" s="83"/>
      <c r="J49" s="83"/>
      <c r="K49" s="83"/>
      <c r="L49" s="83"/>
      <c r="M49" s="83"/>
    </row>
    <row r="50" spans="1:13" x14ac:dyDescent="0.25">
      <c r="C50" s="53"/>
      <c r="D50" s="53"/>
      <c r="E50" s="53"/>
      <c r="F50" s="83"/>
      <c r="G50" s="83"/>
      <c r="H50" s="83"/>
      <c r="I50" s="83"/>
      <c r="J50" s="83"/>
      <c r="K50" s="83"/>
      <c r="L50" s="83"/>
      <c r="M50" s="83"/>
    </row>
    <row r="51" spans="1:13" x14ac:dyDescent="0.25">
      <c r="A51" s="90" t="s">
        <v>909</v>
      </c>
      <c r="C51" s="53"/>
      <c r="D51" s="53"/>
      <c r="E51" s="53"/>
      <c r="F51" s="83"/>
      <c r="G51" s="83"/>
      <c r="H51" s="83"/>
      <c r="I51" s="83"/>
      <c r="J51" s="83"/>
      <c r="K51" s="83"/>
      <c r="L51" s="83"/>
      <c r="M51" s="83"/>
    </row>
    <row r="52" spans="1:13" x14ac:dyDescent="0.25">
      <c r="A52" s="90" t="s">
        <v>910</v>
      </c>
      <c r="C52" s="53">
        <v>-15492021.529999971</v>
      </c>
      <c r="D52" s="53"/>
      <c r="E52" s="53"/>
      <c r="F52" s="83"/>
      <c r="G52" s="83"/>
      <c r="H52" s="83"/>
      <c r="I52" s="83"/>
      <c r="J52" s="83"/>
      <c r="K52" s="83"/>
      <c r="L52" s="83"/>
      <c r="M52" s="83"/>
    </row>
    <row r="53" spans="1:13" x14ac:dyDescent="0.25">
      <c r="F53" s="84"/>
      <c r="G53" s="84"/>
      <c r="H53" s="84"/>
      <c r="I53" s="84"/>
      <c r="J53" s="84"/>
      <c r="K53" s="84"/>
      <c r="L53" s="84"/>
      <c r="M53" s="84"/>
    </row>
    <row r="54" spans="1:13" ht="13.8" thickBot="1" x14ac:dyDescent="0.3">
      <c r="A54" s="90" t="s">
        <v>495</v>
      </c>
      <c r="C54" s="121">
        <f>C16+C49+C52</f>
        <v>-556434991.83395946</v>
      </c>
      <c r="D54" s="121">
        <f>+C54+D49</f>
        <v>-541449704.98598754</v>
      </c>
      <c r="E54" s="121">
        <f>+D54+E49</f>
        <v>-525513216.99455887</v>
      </c>
      <c r="F54" s="122"/>
      <c r="G54" s="122"/>
      <c r="H54" s="122"/>
      <c r="I54" s="122"/>
      <c r="J54" s="122"/>
      <c r="K54" s="122"/>
      <c r="L54" s="122"/>
      <c r="M54" s="122"/>
    </row>
    <row r="55" spans="1:13" ht="13.8" thickTop="1" x14ac:dyDescent="0.25">
      <c r="F55" s="84"/>
      <c r="G55" s="84"/>
      <c r="H55" s="84"/>
      <c r="I55" s="84"/>
      <c r="J55" s="84"/>
      <c r="K55" s="84"/>
      <c r="L55" s="84"/>
      <c r="M55" s="84"/>
    </row>
    <row r="56" spans="1:13" x14ac:dyDescent="0.25">
      <c r="F56" s="84"/>
      <c r="G56" s="84"/>
      <c r="H56" s="84"/>
      <c r="I56" s="84"/>
      <c r="J56" s="84"/>
      <c r="K56" s="84"/>
      <c r="L56" s="84"/>
      <c r="M56" s="84"/>
    </row>
    <row r="57" spans="1:13" x14ac:dyDescent="0.25">
      <c r="A57" s="109" t="s">
        <v>947</v>
      </c>
      <c r="F57" s="84"/>
      <c r="G57" s="84"/>
      <c r="H57" s="84"/>
      <c r="I57" s="84"/>
      <c r="J57" s="84"/>
      <c r="K57" s="84"/>
      <c r="L57" s="84"/>
    </row>
    <row r="58" spans="1:13" ht="15" x14ac:dyDescent="0.4">
      <c r="C58" s="110" t="s">
        <v>276</v>
      </c>
      <c r="D58" s="110" t="s">
        <v>277</v>
      </c>
      <c r="E58" s="110" t="s">
        <v>278</v>
      </c>
      <c r="F58" s="85"/>
      <c r="G58" s="85"/>
      <c r="H58" s="85"/>
      <c r="I58" s="85"/>
      <c r="J58" s="85"/>
      <c r="K58" s="85"/>
      <c r="L58" s="85"/>
    </row>
    <row r="59" spans="1:13" x14ac:dyDescent="0.25">
      <c r="A59" s="90" t="s">
        <v>948</v>
      </c>
      <c r="D59" s="108"/>
      <c r="E59" s="108"/>
      <c r="F59" s="86"/>
      <c r="G59" s="86"/>
      <c r="H59" s="86"/>
      <c r="I59" s="86"/>
      <c r="J59" s="86"/>
      <c r="K59" s="86"/>
      <c r="L59" s="86"/>
    </row>
    <row r="60" spans="1:13" x14ac:dyDescent="0.25">
      <c r="A60" s="90" t="s">
        <v>949</v>
      </c>
      <c r="C60" s="53">
        <v>5796918.3372000009</v>
      </c>
      <c r="D60" s="53">
        <v>8080813.3340000026</v>
      </c>
      <c r="E60" s="53">
        <v>8669583.2936000023</v>
      </c>
      <c r="F60" s="83"/>
      <c r="G60" s="83"/>
      <c r="H60" s="83"/>
      <c r="I60" s="83"/>
      <c r="J60" s="83"/>
      <c r="K60" s="83"/>
      <c r="L60" s="83"/>
    </row>
    <row r="61" spans="1:13" x14ac:dyDescent="0.25">
      <c r="A61" s="90" t="s">
        <v>950</v>
      </c>
      <c r="C61" s="83">
        <f>-346045*0.9342</f>
        <v>-323275.239</v>
      </c>
      <c r="D61" s="83">
        <f>-457316*0.9342</f>
        <v>-427224.60720000003</v>
      </c>
      <c r="E61" s="83">
        <f>-490020*0.9342</f>
        <v>-457776.68400000001</v>
      </c>
      <c r="F61" s="83"/>
      <c r="G61" s="83"/>
      <c r="H61" s="83"/>
      <c r="I61" s="83"/>
      <c r="J61" s="83"/>
      <c r="K61" s="83"/>
      <c r="L61" s="83"/>
    </row>
    <row r="62" spans="1:13" x14ac:dyDescent="0.25">
      <c r="A62" s="90" t="s">
        <v>951</v>
      </c>
      <c r="C62" s="83">
        <v>49889</v>
      </c>
      <c r="D62" s="83">
        <f>+C62</f>
        <v>49889</v>
      </c>
      <c r="E62" s="83">
        <f t="shared" ref="E62" si="19">+D62</f>
        <v>49889</v>
      </c>
      <c r="F62" s="83"/>
      <c r="G62" s="83"/>
      <c r="H62" s="83"/>
      <c r="I62" s="83"/>
      <c r="J62" s="83"/>
      <c r="K62" s="83"/>
      <c r="L62" s="83"/>
    </row>
    <row r="63" spans="1:13" x14ac:dyDescent="0.25">
      <c r="A63" s="90" t="s">
        <v>952</v>
      </c>
      <c r="C63" s="83">
        <v>2994.8563829787236</v>
      </c>
      <c r="D63" s="83">
        <v>2994.8563829787236</v>
      </c>
      <c r="E63" s="83">
        <v>2994.8563829787236</v>
      </c>
      <c r="F63" s="83"/>
      <c r="G63" s="83"/>
      <c r="H63" s="83"/>
      <c r="I63" s="83"/>
      <c r="J63" s="83"/>
      <c r="K63" s="83"/>
      <c r="L63" s="83"/>
    </row>
    <row r="64" spans="1:13" x14ac:dyDescent="0.25">
      <c r="A64" s="90" t="s">
        <v>953</v>
      </c>
      <c r="C64" s="83"/>
      <c r="D64" s="83">
        <v>49354.462877940423</v>
      </c>
      <c r="E64" s="83">
        <v>74031.694316910638</v>
      </c>
      <c r="F64" s="83"/>
      <c r="G64" s="83"/>
      <c r="H64" s="83"/>
      <c r="I64" s="83"/>
      <c r="J64" s="83"/>
      <c r="K64" s="83"/>
      <c r="L64" s="83"/>
    </row>
    <row r="65" spans="1:18" x14ac:dyDescent="0.25">
      <c r="A65" s="90" t="s">
        <v>954</v>
      </c>
      <c r="C65" s="111">
        <f>+(45395498+5304452-32487957)/15</f>
        <v>1214132.8666666667</v>
      </c>
      <c r="D65" s="111">
        <f>+C65</f>
        <v>1214132.8666666667</v>
      </c>
      <c r="E65" s="111">
        <f t="shared" ref="E65" si="20">+D65</f>
        <v>1214132.8666666667</v>
      </c>
      <c r="F65" s="83"/>
      <c r="G65" s="83"/>
      <c r="H65" s="83"/>
      <c r="I65" s="83"/>
      <c r="J65" s="83"/>
      <c r="K65" s="83"/>
      <c r="L65" s="83"/>
    </row>
    <row r="66" spans="1:18" x14ac:dyDescent="0.25">
      <c r="A66" s="90" t="s">
        <v>105</v>
      </c>
      <c r="C66" s="53">
        <f>SUM(C60:C65)</f>
        <v>6740659.8212496471</v>
      </c>
      <c r="D66" s="53">
        <f>SUM(D60:D65)</f>
        <v>8969959.9127275888</v>
      </c>
      <c r="E66" s="53">
        <f>SUM(E60:E65)</f>
        <v>9552855.0269665588</v>
      </c>
      <c r="F66" s="83"/>
      <c r="G66" s="83"/>
      <c r="H66" s="83"/>
      <c r="I66" s="83"/>
      <c r="J66" s="83"/>
      <c r="K66" s="83"/>
      <c r="L66" s="83"/>
    </row>
    <row r="67" spans="1:18" x14ac:dyDescent="0.25">
      <c r="D67" s="123"/>
      <c r="E67" s="124"/>
      <c r="F67" s="87"/>
      <c r="G67" s="87"/>
      <c r="H67" s="87"/>
      <c r="I67" s="87"/>
      <c r="J67" s="87"/>
      <c r="K67" s="87"/>
      <c r="L67" s="84"/>
    </row>
    <row r="68" spans="1:18" x14ac:dyDescent="0.25">
      <c r="A68" s="90" t="s">
        <v>955</v>
      </c>
      <c r="D68" s="108"/>
      <c r="F68" s="84"/>
      <c r="G68" s="84"/>
      <c r="H68" s="84"/>
      <c r="I68" s="84"/>
      <c r="J68" s="84"/>
      <c r="K68" s="84"/>
      <c r="L68" s="84"/>
    </row>
    <row r="69" spans="1:18" x14ac:dyDescent="0.25">
      <c r="A69" s="90" t="s">
        <v>949</v>
      </c>
      <c r="C69" s="53">
        <f>+C60/0.8*0.2</f>
        <v>1449229.5843000002</v>
      </c>
      <c r="D69" s="53">
        <f>+D60/0.8*0.2</f>
        <v>2020203.3335000006</v>
      </c>
      <c r="E69" s="53">
        <f>+E60/0.8*0.2</f>
        <v>2167395.8234000006</v>
      </c>
      <c r="F69" s="83"/>
      <c r="G69" s="83"/>
      <c r="H69" s="83"/>
      <c r="I69" s="83"/>
      <c r="J69" s="83"/>
      <c r="K69" s="83"/>
      <c r="L69" s="83"/>
      <c r="N69" s="125">
        <f>+C69/SUM(C60,C69)</f>
        <v>0.2</v>
      </c>
      <c r="O69" s="125">
        <f>+D69/SUM(D60,D69)</f>
        <v>0.19999999999999998</v>
      </c>
      <c r="P69" s="125">
        <f>+E69/SUM(E60,E69)</f>
        <v>0.2</v>
      </c>
      <c r="Q69" s="125" t="e">
        <f>+F69/SUM(F60,F69)</f>
        <v>#DIV/0!</v>
      </c>
      <c r="R69" s="125" t="e">
        <f>+G69/SUM(G60,G69)</f>
        <v>#DIV/0!</v>
      </c>
    </row>
    <row r="70" spans="1:18" x14ac:dyDescent="0.25">
      <c r="A70" s="90" t="s">
        <v>950</v>
      </c>
      <c r="C70" s="83">
        <f>-346045-C61</f>
        <v>-22769.760999999999</v>
      </c>
      <c r="D70" s="83">
        <f>-457316-D61</f>
        <v>-30091.392799999972</v>
      </c>
      <c r="E70" s="83">
        <f>-490020-E61</f>
        <v>-32243.315999999992</v>
      </c>
      <c r="F70" s="83"/>
      <c r="G70" s="83"/>
      <c r="H70" s="83"/>
      <c r="I70" s="83"/>
      <c r="J70" s="83"/>
      <c r="K70" s="83"/>
      <c r="L70" s="83"/>
    </row>
    <row r="71" spans="1:18" x14ac:dyDescent="0.25">
      <c r="A71" s="90" t="s">
        <v>953</v>
      </c>
      <c r="C71" s="83"/>
      <c r="D71" s="83">
        <v>6816.5444506647691</v>
      </c>
      <c r="E71" s="83">
        <v>10224.81667599715</v>
      </c>
      <c r="F71" s="83"/>
      <c r="G71" s="83"/>
      <c r="H71" s="83"/>
      <c r="I71" s="83"/>
      <c r="J71" s="83"/>
      <c r="K71" s="83"/>
      <c r="L71" s="83"/>
    </row>
    <row r="72" spans="1:18" x14ac:dyDescent="0.25">
      <c r="A72" s="90" t="s">
        <v>954</v>
      </c>
      <c r="C72" s="111">
        <f>+(9011962+1551955-8048585)/15</f>
        <v>167688.79999999999</v>
      </c>
      <c r="D72" s="111">
        <f>+C72</f>
        <v>167688.79999999999</v>
      </c>
      <c r="E72" s="111">
        <f>+D72</f>
        <v>167688.79999999999</v>
      </c>
      <c r="F72" s="83"/>
      <c r="G72" s="83"/>
      <c r="H72" s="83"/>
      <c r="I72" s="83"/>
      <c r="J72" s="83"/>
      <c r="K72" s="83"/>
      <c r="L72" s="83"/>
    </row>
    <row r="73" spans="1:18" x14ac:dyDescent="0.25">
      <c r="A73" s="90" t="s">
        <v>105</v>
      </c>
      <c r="C73" s="53">
        <f>SUM(C69:C72)</f>
        <v>1594148.6233000003</v>
      </c>
      <c r="D73" s="53">
        <f>SUM(D69:D72)</f>
        <v>2164617.2851506653</v>
      </c>
      <c r="E73" s="53">
        <f>SUM(E69:E72)</f>
        <v>2313066.1240759976</v>
      </c>
      <c r="F73" s="83"/>
      <c r="G73" s="83"/>
      <c r="H73" s="83"/>
      <c r="I73" s="83"/>
      <c r="J73" s="83"/>
      <c r="K73" s="83"/>
      <c r="L73" s="83"/>
    </row>
    <row r="74" spans="1:18" x14ac:dyDescent="0.25">
      <c r="F74" s="84"/>
      <c r="G74" s="84"/>
      <c r="H74" s="84"/>
      <c r="I74" s="84"/>
      <c r="J74" s="84"/>
      <c r="K74" s="84"/>
      <c r="L74" s="84"/>
    </row>
    <row r="75" spans="1:18" x14ac:dyDescent="0.25">
      <c r="A75" s="90" t="s">
        <v>928</v>
      </c>
      <c r="C75" s="53">
        <f>+C78-SUM(C76:C77)</f>
        <v>7626487.3430496464</v>
      </c>
      <c r="D75" s="53">
        <f>+D78-SUM(D76:D77)</f>
        <v>10212937.229878254</v>
      </c>
      <c r="E75" s="53">
        <f>+E78-SUM(E76:E77)</f>
        <v>10994592.334042557</v>
      </c>
      <c r="F75" s="83"/>
      <c r="G75" s="83"/>
      <c r="H75" s="83"/>
      <c r="I75" s="83"/>
      <c r="J75" s="83"/>
      <c r="K75" s="83"/>
      <c r="L75" s="83"/>
    </row>
    <row r="76" spans="1:18" x14ac:dyDescent="0.25">
      <c r="A76" s="90" t="s">
        <v>929</v>
      </c>
      <c r="C76" s="53">
        <f>-C77*0.21</f>
        <v>-188287.88774050656</v>
      </c>
      <c r="D76" s="53">
        <f t="shared" ref="D76:E76" si="21">-D77*0.21</f>
        <v>-244992.9028860759</v>
      </c>
      <c r="E76" s="53">
        <f t="shared" si="21"/>
        <v>-231619.05262025335</v>
      </c>
      <c r="F76" s="83"/>
      <c r="G76" s="83"/>
      <c r="H76" s="83"/>
      <c r="I76" s="83"/>
      <c r="J76" s="83"/>
      <c r="K76" s="83"/>
      <c r="L76" s="83"/>
    </row>
    <row r="77" spans="1:18" x14ac:dyDescent="0.25">
      <c r="A77" s="90" t="s">
        <v>930</v>
      </c>
      <c r="C77" s="53">
        <v>896608.98924050748</v>
      </c>
      <c r="D77" s="53">
        <v>1166632.8708860758</v>
      </c>
      <c r="E77" s="53">
        <v>1102947.869620254</v>
      </c>
      <c r="F77" s="83"/>
      <c r="G77" s="83"/>
      <c r="H77" s="83"/>
      <c r="I77" s="83"/>
      <c r="J77" s="83"/>
      <c r="K77" s="83"/>
      <c r="L77" s="83"/>
    </row>
    <row r="78" spans="1:18" ht="13.8" thickBot="1" x14ac:dyDescent="0.3">
      <c r="A78" s="90" t="s">
        <v>931</v>
      </c>
      <c r="C78" s="126">
        <f>+C66+C73</f>
        <v>8334808.4445496472</v>
      </c>
      <c r="D78" s="126">
        <f>+D66+D73</f>
        <v>11134577.197878255</v>
      </c>
      <c r="E78" s="126">
        <f>+E66+E73</f>
        <v>11865921.151042556</v>
      </c>
      <c r="F78" s="86"/>
      <c r="G78" s="86"/>
      <c r="H78" s="86"/>
      <c r="I78" s="86"/>
      <c r="J78" s="86"/>
      <c r="K78" s="86"/>
      <c r="L78" s="86"/>
    </row>
    <row r="79" spans="1:18" x14ac:dyDescent="0.25">
      <c r="C79" s="84"/>
      <c r="D79" s="86"/>
      <c r="E79" s="86"/>
      <c r="F79" s="86"/>
      <c r="G79" s="86"/>
      <c r="H79" s="86"/>
      <c r="I79" s="86"/>
      <c r="J79" s="86"/>
      <c r="K79" s="86"/>
      <c r="L79" s="86"/>
    </row>
    <row r="80" spans="1:18" x14ac:dyDescent="0.25">
      <c r="A80" s="109" t="s">
        <v>956</v>
      </c>
      <c r="C80" s="84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15" x14ac:dyDescent="0.4">
      <c r="C81" s="110" t="s">
        <v>276</v>
      </c>
      <c r="D81" s="110" t="s">
        <v>277</v>
      </c>
      <c r="E81" s="110" t="s">
        <v>278</v>
      </c>
      <c r="F81" s="85"/>
      <c r="G81" s="85"/>
      <c r="H81" s="85"/>
      <c r="I81" s="85"/>
      <c r="J81" s="85"/>
      <c r="K81" s="85"/>
      <c r="L81" s="85"/>
    </row>
    <row r="82" spans="1:12" ht="14.4" x14ac:dyDescent="0.3">
      <c r="A82" s="90" t="s">
        <v>957</v>
      </c>
      <c r="B82" s="127"/>
      <c r="C82" s="53">
        <v>145094.66</v>
      </c>
      <c r="D82" s="53">
        <f>+C82</f>
        <v>145094.66</v>
      </c>
      <c r="E82" s="53">
        <f t="shared" ref="E82" si="22">+D82</f>
        <v>145094.66</v>
      </c>
      <c r="F82" s="83"/>
      <c r="G82" s="83"/>
      <c r="H82" s="83"/>
      <c r="I82" s="83"/>
      <c r="J82" s="83"/>
      <c r="K82" s="83"/>
      <c r="L82" s="83"/>
    </row>
    <row r="83" spans="1:12" ht="14.4" x14ac:dyDescent="0.3">
      <c r="A83" s="90" t="s">
        <v>958</v>
      </c>
      <c r="B83" s="127"/>
      <c r="C83" s="53">
        <v>516258.42199028435</v>
      </c>
      <c r="D83" s="53">
        <v>516258.42199028435</v>
      </c>
      <c r="E83" s="53">
        <v>516258.42199028435</v>
      </c>
      <c r="F83" s="83"/>
      <c r="G83" s="83"/>
      <c r="H83" s="83"/>
      <c r="I83" s="83"/>
      <c r="J83" s="83"/>
      <c r="K83" s="83"/>
      <c r="L83" s="86"/>
    </row>
    <row r="84" spans="1:12" ht="14.4" x14ac:dyDescent="0.3">
      <c r="A84" s="90" t="s">
        <v>959</v>
      </c>
      <c r="B84" s="127"/>
      <c r="C84" s="53">
        <v>441137.6106399073</v>
      </c>
      <c r="D84" s="53">
        <v>364237.6106399073</v>
      </c>
      <c r="E84" s="53">
        <v>298727.6106399073</v>
      </c>
      <c r="F84" s="83"/>
      <c r="G84" s="83"/>
      <c r="H84" s="83"/>
      <c r="I84" s="83"/>
      <c r="J84" s="83"/>
      <c r="K84" s="83"/>
      <c r="L84" s="83"/>
    </row>
    <row r="85" spans="1:12" ht="14.4" x14ac:dyDescent="0.3">
      <c r="A85" s="90" t="s">
        <v>960</v>
      </c>
      <c r="B85" s="127"/>
      <c r="C85" s="111">
        <v>25220</v>
      </c>
      <c r="D85" s="111">
        <v>6520</v>
      </c>
      <c r="E85" s="111">
        <v>2020</v>
      </c>
      <c r="F85" s="83"/>
      <c r="G85" s="83"/>
      <c r="H85" s="83"/>
      <c r="I85" s="83"/>
      <c r="J85" s="83"/>
      <c r="K85" s="83"/>
      <c r="L85" s="83"/>
    </row>
    <row r="86" spans="1:12" x14ac:dyDescent="0.25">
      <c r="B86" s="128"/>
      <c r="C86" s="53">
        <f>SUM(C82:C85)</f>
        <v>1127710.6926301918</v>
      </c>
      <c r="D86" s="53">
        <f t="shared" ref="D86:E86" si="23">SUM(D82:D85)</f>
        <v>1032110.6926301917</v>
      </c>
      <c r="E86" s="53">
        <f t="shared" si="23"/>
        <v>962100.69263019168</v>
      </c>
      <c r="F86" s="83"/>
      <c r="G86" s="83"/>
      <c r="H86" s="83"/>
      <c r="I86" s="83"/>
      <c r="J86" s="83"/>
      <c r="K86" s="83"/>
      <c r="L86" s="83"/>
    </row>
    <row r="87" spans="1:12" x14ac:dyDescent="0.25">
      <c r="A87" s="90" t="s">
        <v>961</v>
      </c>
      <c r="F87" s="84"/>
      <c r="G87" s="84"/>
      <c r="H87" s="84"/>
      <c r="I87" s="84"/>
      <c r="J87" s="84"/>
      <c r="K87" s="84"/>
      <c r="L87" s="84"/>
    </row>
    <row r="88" spans="1:12" x14ac:dyDescent="0.25">
      <c r="A88" s="90" t="s">
        <v>957</v>
      </c>
      <c r="C88" s="53">
        <v>-16824.560000000001</v>
      </c>
      <c r="D88" s="53">
        <f>+C88</f>
        <v>-16824.560000000001</v>
      </c>
      <c r="E88" s="53">
        <f t="shared" ref="E88" si="24">+D88</f>
        <v>-16824.560000000001</v>
      </c>
      <c r="F88" s="83"/>
      <c r="G88" s="83"/>
      <c r="H88" s="83"/>
      <c r="I88" s="83"/>
      <c r="J88" s="83"/>
      <c r="K88" s="83"/>
      <c r="L88" s="83"/>
    </row>
    <row r="89" spans="1:12" x14ac:dyDescent="0.25">
      <c r="A89" s="90" t="s">
        <v>958</v>
      </c>
      <c r="C89" s="111">
        <f>-C83*0.2495</f>
        <v>-128806.47628657594</v>
      </c>
      <c r="D89" s="111">
        <f t="shared" ref="D89:E89" si="25">-D83*0.2495</f>
        <v>-128806.47628657594</v>
      </c>
      <c r="E89" s="111">
        <f t="shared" si="25"/>
        <v>-128806.47628657594</v>
      </c>
      <c r="F89" s="83"/>
      <c r="G89" s="83"/>
      <c r="H89" s="83"/>
      <c r="I89" s="83"/>
      <c r="J89" s="83"/>
      <c r="K89" s="83"/>
      <c r="L89" s="83"/>
    </row>
    <row r="90" spans="1:12" x14ac:dyDescent="0.25">
      <c r="C90" s="53">
        <f>SUM(C88:C89)</f>
        <v>-145631.03628657595</v>
      </c>
      <c r="D90" s="53">
        <f>SUM(D88:D89)</f>
        <v>-145631.03628657595</v>
      </c>
      <c r="E90" s="53">
        <f t="shared" ref="E90" si="26">SUM(E88:E89)</f>
        <v>-145631.03628657595</v>
      </c>
      <c r="F90" s="83"/>
      <c r="G90" s="83"/>
      <c r="H90" s="83"/>
      <c r="I90" s="83"/>
      <c r="J90" s="83"/>
      <c r="K90" s="83"/>
      <c r="L90" s="83"/>
    </row>
    <row r="91" spans="1:12" x14ac:dyDescent="0.25">
      <c r="F91" s="84"/>
      <c r="G91" s="84"/>
      <c r="H91" s="84"/>
      <c r="I91" s="84"/>
      <c r="J91" s="84"/>
      <c r="K91" s="84"/>
      <c r="L91" s="84"/>
    </row>
    <row r="92" spans="1:12" x14ac:dyDescent="0.25">
      <c r="F92" s="84"/>
      <c r="G92" s="84"/>
      <c r="H92" s="84"/>
      <c r="I92" s="84"/>
      <c r="J92" s="84"/>
      <c r="K92" s="84"/>
      <c r="L92" s="84"/>
    </row>
    <row r="93" spans="1:12" x14ac:dyDescent="0.25">
      <c r="A93" s="90" t="s">
        <v>962</v>
      </c>
      <c r="C93" s="90">
        <v>430000</v>
      </c>
      <c r="D93" s="90">
        <v>385000</v>
      </c>
      <c r="E93" s="90">
        <v>340000</v>
      </c>
      <c r="F93" s="84"/>
      <c r="G93" s="84"/>
      <c r="H93" s="84"/>
      <c r="I93" s="84"/>
      <c r="J93" s="84"/>
      <c r="K93" s="84"/>
      <c r="L93" s="84"/>
    </row>
    <row r="94" spans="1:12" x14ac:dyDescent="0.25">
      <c r="C94" s="129"/>
      <c r="D94" s="129"/>
      <c r="E94" s="129"/>
      <c r="F94" s="88"/>
      <c r="G94" s="88"/>
      <c r="H94" s="88"/>
      <c r="I94" s="88"/>
      <c r="J94" s="88"/>
      <c r="K94" s="88"/>
      <c r="L94" s="88"/>
    </row>
    <row r="95" spans="1:12" x14ac:dyDescent="0.25">
      <c r="F95" s="84"/>
      <c r="G95" s="84"/>
      <c r="H95" s="84"/>
      <c r="I95" s="84"/>
      <c r="J95" s="84"/>
      <c r="K95" s="84"/>
      <c r="L95" s="84"/>
    </row>
    <row r="96" spans="1:12" x14ac:dyDescent="0.25">
      <c r="F96" s="84"/>
      <c r="G96" s="84"/>
      <c r="H96" s="84"/>
      <c r="I96" s="84"/>
      <c r="J96" s="84"/>
      <c r="K96" s="84"/>
      <c r="L96" s="8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zoomScale="90" zoomScaleNormal="90" workbookViewId="0">
      <pane xSplit="2" topLeftCell="C1" activePane="topRight" state="frozen"/>
      <selection activeCell="A16" sqref="A16"/>
      <selection pane="topRight" activeCell="A16" sqref="A16"/>
    </sheetView>
  </sheetViews>
  <sheetFormatPr defaultColWidth="9.109375" defaultRowHeight="13.2" x14ac:dyDescent="0.25"/>
  <cols>
    <col min="1" max="1" width="19.44140625" style="90" customWidth="1"/>
    <col min="2" max="2" width="11.21875" style="90" bestFit="1" customWidth="1"/>
    <col min="3" max="14" width="16" style="90" customWidth="1"/>
    <col min="15" max="15" width="16" style="131" customWidth="1"/>
    <col min="16" max="26" width="16" style="90" customWidth="1"/>
    <col min="27" max="27" width="16" style="131" customWidth="1"/>
    <col min="28" max="38" width="16" style="90" customWidth="1"/>
    <col min="39" max="16384" width="9.109375" style="90"/>
  </cols>
  <sheetData>
    <row r="1" spans="1:10" x14ac:dyDescent="0.25">
      <c r="A1" s="89" t="s">
        <v>903</v>
      </c>
    </row>
    <row r="2" spans="1:10" x14ac:dyDescent="0.25">
      <c r="E2" s="89" t="s">
        <v>468</v>
      </c>
      <c r="I2" s="91" t="s">
        <v>904</v>
      </c>
      <c r="J2" s="91" t="s">
        <v>905</v>
      </c>
    </row>
    <row r="3" spans="1:10" x14ac:dyDescent="0.25">
      <c r="A3" s="92" t="s">
        <v>906</v>
      </c>
      <c r="E3" s="93" t="s">
        <v>469</v>
      </c>
      <c r="I3" s="91" t="s">
        <v>470</v>
      </c>
      <c r="J3" s="91" t="s">
        <v>470</v>
      </c>
    </row>
    <row r="4" spans="1:10" x14ac:dyDescent="0.25">
      <c r="E4" s="91"/>
      <c r="I4" s="91"/>
      <c r="J4" s="91"/>
    </row>
    <row r="5" spans="1:10" x14ac:dyDescent="0.25">
      <c r="A5" s="94"/>
      <c r="B5" s="95"/>
      <c r="C5" s="96"/>
      <c r="E5" s="90" t="s">
        <v>471</v>
      </c>
      <c r="I5" s="97">
        <v>0.35</v>
      </c>
      <c r="J5" s="97">
        <v>0.21</v>
      </c>
    </row>
    <row r="6" spans="1:10" x14ac:dyDescent="0.25">
      <c r="A6" s="99"/>
      <c r="B6" s="95" t="s">
        <v>472</v>
      </c>
      <c r="C6" s="100" t="s">
        <v>473</v>
      </c>
      <c r="E6" s="90" t="s">
        <v>474</v>
      </c>
      <c r="I6" s="97">
        <v>0.06</v>
      </c>
      <c r="J6" s="97">
        <v>0.05</v>
      </c>
    </row>
    <row r="7" spans="1:10" x14ac:dyDescent="0.25">
      <c r="A7" s="95" t="s">
        <v>475</v>
      </c>
      <c r="B7" s="101"/>
      <c r="C7" s="101"/>
      <c r="E7" s="90" t="s">
        <v>476</v>
      </c>
      <c r="I7" s="97">
        <f>I6*-I5</f>
        <v>-2.0999999999999998E-2</v>
      </c>
      <c r="J7" s="97">
        <f>J6*-J5</f>
        <v>-1.0500000000000001E-2</v>
      </c>
    </row>
    <row r="8" spans="1:10" ht="13.8" thickBot="1" x14ac:dyDescent="0.3">
      <c r="A8" s="95" t="s">
        <v>477</v>
      </c>
      <c r="B8" s="101"/>
      <c r="C8" s="102">
        <v>4278011.13</v>
      </c>
      <c r="E8" s="90" t="s">
        <v>478</v>
      </c>
      <c r="I8" s="103">
        <f>I5+I6+I7</f>
        <v>0.38899999999999996</v>
      </c>
      <c r="J8" s="103">
        <f>J5+J6+J7</f>
        <v>0.2495</v>
      </c>
    </row>
    <row r="9" spans="1:10" ht="13.8" thickTop="1" x14ac:dyDescent="0.25">
      <c r="A9" s="95" t="s">
        <v>479</v>
      </c>
      <c r="B9" s="101"/>
      <c r="C9" s="102">
        <v>1422203.77</v>
      </c>
    </row>
    <row r="10" spans="1:10" x14ac:dyDescent="0.25">
      <c r="A10" s="95" t="s">
        <v>480</v>
      </c>
      <c r="B10" s="101"/>
      <c r="C10" s="102">
        <v>1072184.04</v>
      </c>
      <c r="E10" s="90" t="s">
        <v>481</v>
      </c>
    </row>
    <row r="11" spans="1:10" x14ac:dyDescent="0.25">
      <c r="A11" s="95" t="s">
        <v>482</v>
      </c>
      <c r="B11" s="101"/>
      <c r="C11" s="102">
        <v>356442.06</v>
      </c>
      <c r="E11" s="90" t="s">
        <v>483</v>
      </c>
    </row>
    <row r="12" spans="1:10" x14ac:dyDescent="0.25">
      <c r="A12" s="95" t="s">
        <v>484</v>
      </c>
      <c r="B12" s="101"/>
      <c r="C12" s="102">
        <v>-395411946.42000002</v>
      </c>
    </row>
    <row r="13" spans="1:10" x14ac:dyDescent="0.25">
      <c r="A13" s="95" t="s">
        <v>485</v>
      </c>
      <c r="B13" s="101"/>
      <c r="C13" s="102">
        <v>-113434067.62</v>
      </c>
      <c r="E13" s="105" t="s">
        <v>486</v>
      </c>
      <c r="I13" s="90">
        <f>1/(1-I8)</f>
        <v>1.6366612111292962</v>
      </c>
      <c r="J13" s="90">
        <f>1/(1-J8)</f>
        <v>1.3324450366422387</v>
      </c>
    </row>
    <row r="14" spans="1:10" x14ac:dyDescent="0.25">
      <c r="A14" s="95" t="s">
        <v>487</v>
      </c>
      <c r="B14" s="101"/>
      <c r="C14" s="102">
        <v>-15826647.189999999</v>
      </c>
      <c r="E14" s="106" t="s">
        <v>489</v>
      </c>
    </row>
    <row r="15" spans="1:10" x14ac:dyDescent="0.25">
      <c r="A15" s="95" t="s">
        <v>488</v>
      </c>
      <c r="B15" s="101"/>
      <c r="C15" s="102">
        <v>-28429720.239999998</v>
      </c>
    </row>
    <row r="16" spans="1:10" x14ac:dyDescent="0.25">
      <c r="A16" s="95" t="s">
        <v>490</v>
      </c>
      <c r="B16" s="101"/>
      <c r="C16" s="107">
        <v>-545973540.47000003</v>
      </c>
      <c r="E16" s="105" t="s">
        <v>491</v>
      </c>
      <c r="I16" s="90">
        <f>I13-1</f>
        <v>0.63666121112929619</v>
      </c>
      <c r="J16" s="90">
        <f>J13-1</f>
        <v>0.33244503664223868</v>
      </c>
    </row>
    <row r="17" spans="1:38" x14ac:dyDescent="0.25">
      <c r="C17" s="108"/>
      <c r="E17" s="106" t="s">
        <v>492</v>
      </c>
    </row>
    <row r="19" spans="1:38" x14ac:dyDescent="0.25">
      <c r="C19" s="108"/>
    </row>
    <row r="20" spans="1:38" x14ac:dyDescent="0.25">
      <c r="C20" s="132" t="s">
        <v>911</v>
      </c>
      <c r="D20" s="132" t="s">
        <v>911</v>
      </c>
      <c r="E20" s="132" t="s">
        <v>911</v>
      </c>
      <c r="F20" s="132" t="s">
        <v>911</v>
      </c>
      <c r="G20" s="132" t="s">
        <v>911</v>
      </c>
      <c r="H20" s="132" t="s">
        <v>276</v>
      </c>
      <c r="I20" s="132" t="s">
        <v>276</v>
      </c>
      <c r="J20" s="132" t="s">
        <v>276</v>
      </c>
      <c r="K20" s="132" t="s">
        <v>276</v>
      </c>
      <c r="L20" s="132" t="s">
        <v>276</v>
      </c>
      <c r="M20" s="132" t="s">
        <v>276</v>
      </c>
      <c r="N20" s="132" t="s">
        <v>276</v>
      </c>
      <c r="O20" s="133" t="s">
        <v>277</v>
      </c>
      <c r="P20" s="132" t="s">
        <v>277</v>
      </c>
      <c r="Q20" s="132" t="s">
        <v>277</v>
      </c>
      <c r="R20" s="132" t="s">
        <v>277</v>
      </c>
      <c r="S20" s="132" t="s">
        <v>277</v>
      </c>
      <c r="T20" s="132" t="s">
        <v>277</v>
      </c>
      <c r="U20" s="132" t="s">
        <v>277</v>
      </c>
      <c r="V20" s="132" t="s">
        <v>277</v>
      </c>
      <c r="W20" s="132" t="s">
        <v>277</v>
      </c>
      <c r="X20" s="132" t="s">
        <v>277</v>
      </c>
      <c r="Y20" s="132" t="s">
        <v>277</v>
      </c>
      <c r="Z20" s="132" t="s">
        <v>277</v>
      </c>
      <c r="AA20" s="133" t="s">
        <v>278</v>
      </c>
      <c r="AB20" s="133" t="s">
        <v>278</v>
      </c>
      <c r="AC20" s="133" t="s">
        <v>278</v>
      </c>
      <c r="AD20" s="133" t="s">
        <v>278</v>
      </c>
      <c r="AE20" s="133" t="s">
        <v>278</v>
      </c>
      <c r="AF20" s="133" t="s">
        <v>278</v>
      </c>
      <c r="AG20" s="133" t="s">
        <v>278</v>
      </c>
      <c r="AH20" s="133" t="s">
        <v>278</v>
      </c>
      <c r="AI20" s="133" t="s">
        <v>278</v>
      </c>
      <c r="AJ20" s="133" t="s">
        <v>278</v>
      </c>
      <c r="AK20" s="133" t="s">
        <v>278</v>
      </c>
      <c r="AL20" s="133" t="s">
        <v>278</v>
      </c>
    </row>
    <row r="21" spans="1:38" ht="15" x14ac:dyDescent="0.4">
      <c r="A21" s="109" t="s">
        <v>912</v>
      </c>
      <c r="C21" s="110" t="s">
        <v>913</v>
      </c>
      <c r="D21" s="110" t="s">
        <v>914</v>
      </c>
      <c r="E21" s="110" t="s">
        <v>915</v>
      </c>
      <c r="F21" s="110" t="s">
        <v>916</v>
      </c>
      <c r="G21" s="110" t="s">
        <v>917</v>
      </c>
      <c r="H21" s="110" t="s">
        <v>918</v>
      </c>
      <c r="I21" s="110" t="s">
        <v>919</v>
      </c>
      <c r="J21" s="110" t="s">
        <v>920</v>
      </c>
      <c r="K21" s="110" t="s">
        <v>921</v>
      </c>
      <c r="L21" s="110" t="s">
        <v>922</v>
      </c>
      <c r="M21" s="110" t="s">
        <v>923</v>
      </c>
      <c r="N21" s="110" t="s">
        <v>924</v>
      </c>
      <c r="O21" s="134" t="s">
        <v>913</v>
      </c>
      <c r="P21" s="110" t="s">
        <v>914</v>
      </c>
      <c r="Q21" s="110" t="s">
        <v>915</v>
      </c>
      <c r="R21" s="110" t="s">
        <v>916</v>
      </c>
      <c r="S21" s="110" t="s">
        <v>917</v>
      </c>
      <c r="T21" s="110" t="s">
        <v>918</v>
      </c>
      <c r="U21" s="110" t="s">
        <v>919</v>
      </c>
      <c r="V21" s="110" t="s">
        <v>920</v>
      </c>
      <c r="W21" s="110" t="s">
        <v>921</v>
      </c>
      <c r="X21" s="110" t="s">
        <v>922</v>
      </c>
      <c r="Y21" s="110" t="s">
        <v>923</v>
      </c>
      <c r="Z21" s="110" t="s">
        <v>924</v>
      </c>
      <c r="AA21" s="134" t="s">
        <v>913</v>
      </c>
      <c r="AB21" s="110" t="s">
        <v>914</v>
      </c>
      <c r="AC21" s="110" t="s">
        <v>915</v>
      </c>
      <c r="AD21" s="110" t="s">
        <v>916</v>
      </c>
      <c r="AE21" s="110" t="s">
        <v>917</v>
      </c>
      <c r="AF21" s="110" t="s">
        <v>918</v>
      </c>
      <c r="AG21" s="110" t="s">
        <v>919</v>
      </c>
      <c r="AH21" s="110" t="s">
        <v>920</v>
      </c>
      <c r="AI21" s="110" t="s">
        <v>921</v>
      </c>
      <c r="AJ21" s="110" t="s">
        <v>922</v>
      </c>
      <c r="AK21" s="110" t="s">
        <v>923</v>
      </c>
      <c r="AL21" s="110" t="s">
        <v>924</v>
      </c>
    </row>
    <row r="22" spans="1:38" x14ac:dyDescent="0.25">
      <c r="A22" s="90" t="s">
        <v>925</v>
      </c>
      <c r="C22" s="114">
        <f>+C39+C50</f>
        <v>0</v>
      </c>
      <c r="D22" s="114">
        <f t="shared" ref="D22:AL22" si="0">+D39+D50</f>
        <v>0</v>
      </c>
      <c r="E22" s="114">
        <f t="shared" si="0"/>
        <v>-48511.337870278468</v>
      </c>
      <c r="F22" s="114">
        <f t="shared" si="0"/>
        <v>0</v>
      </c>
      <c r="G22" s="114">
        <f t="shared" si="0"/>
        <v>0</v>
      </c>
      <c r="H22" s="114">
        <f t="shared" si="0"/>
        <v>-48511.337870278468</v>
      </c>
      <c r="I22" s="114">
        <f t="shared" si="0"/>
        <v>0</v>
      </c>
      <c r="J22" s="114">
        <f t="shared" si="0"/>
        <v>0</v>
      </c>
      <c r="K22" s="114">
        <f t="shared" si="0"/>
        <v>-48511.337870278468</v>
      </c>
      <c r="L22" s="114">
        <f t="shared" si="0"/>
        <v>0</v>
      </c>
      <c r="M22" s="114">
        <f t="shared" si="0"/>
        <v>0</v>
      </c>
      <c r="N22" s="114">
        <f t="shared" si="0"/>
        <v>-48511.337870278468</v>
      </c>
      <c r="O22" s="135">
        <f t="shared" si="0"/>
        <v>0</v>
      </c>
      <c r="P22" s="114">
        <f t="shared" si="0"/>
        <v>0</v>
      </c>
      <c r="Q22" s="114">
        <f t="shared" si="0"/>
        <v>-48511.337870278468</v>
      </c>
      <c r="R22" s="114">
        <f t="shared" si="0"/>
        <v>0</v>
      </c>
      <c r="S22" s="114">
        <f t="shared" si="0"/>
        <v>0</v>
      </c>
      <c r="T22" s="114">
        <f t="shared" si="0"/>
        <v>-48511.337870278468</v>
      </c>
      <c r="U22" s="114">
        <f t="shared" si="0"/>
        <v>0</v>
      </c>
      <c r="V22" s="114">
        <f t="shared" si="0"/>
        <v>0</v>
      </c>
      <c r="W22" s="114">
        <f t="shared" si="0"/>
        <v>-48511.337870278468</v>
      </c>
      <c r="X22" s="114">
        <f t="shared" si="0"/>
        <v>0</v>
      </c>
      <c r="Y22" s="114">
        <f t="shared" si="0"/>
        <v>0</v>
      </c>
      <c r="Z22" s="114">
        <f t="shared" si="0"/>
        <v>-48511.337870278468</v>
      </c>
      <c r="AA22" s="135">
        <f t="shared" si="0"/>
        <v>0</v>
      </c>
      <c r="AB22" s="114">
        <f t="shared" si="0"/>
        <v>0</v>
      </c>
      <c r="AC22" s="114">
        <f t="shared" si="0"/>
        <v>-48511.337870278468</v>
      </c>
      <c r="AD22" s="114">
        <f t="shared" si="0"/>
        <v>0</v>
      </c>
      <c r="AE22" s="114">
        <f t="shared" si="0"/>
        <v>0</v>
      </c>
      <c r="AF22" s="114">
        <f t="shared" si="0"/>
        <v>-48511.337870278468</v>
      </c>
      <c r="AG22" s="114">
        <f t="shared" si="0"/>
        <v>0</v>
      </c>
      <c r="AH22" s="114">
        <f t="shared" si="0"/>
        <v>0</v>
      </c>
      <c r="AI22" s="114">
        <f t="shared" si="0"/>
        <v>-48511.337870278468</v>
      </c>
      <c r="AJ22" s="114">
        <f t="shared" si="0"/>
        <v>0</v>
      </c>
      <c r="AK22" s="114">
        <f t="shared" si="0"/>
        <v>0</v>
      </c>
      <c r="AL22" s="114">
        <f t="shared" si="0"/>
        <v>-48511.337870278468</v>
      </c>
    </row>
    <row r="23" spans="1:38" x14ac:dyDescent="0.25">
      <c r="A23" s="90" t="s">
        <v>926</v>
      </c>
      <c r="C23" s="117">
        <f>+C31+C35+C43+C48+C49+C51</f>
        <v>0</v>
      </c>
      <c r="D23" s="117">
        <f t="shared" ref="D23:AL23" si="1">+D31+D35+D43+D48+D49+D51</f>
        <v>0</v>
      </c>
      <c r="E23" s="117">
        <f t="shared" si="1"/>
        <v>2624177.1545007443</v>
      </c>
      <c r="F23" s="117">
        <f t="shared" si="1"/>
        <v>460300.35976015992</v>
      </c>
      <c r="G23" s="117">
        <f t="shared" si="1"/>
        <v>0</v>
      </c>
      <c r="H23" s="117">
        <f t="shared" si="1"/>
        <v>3268505.6388539239</v>
      </c>
      <c r="I23" s="117">
        <f t="shared" si="1"/>
        <v>0</v>
      </c>
      <c r="J23" s="117">
        <f t="shared" si="1"/>
        <v>0</v>
      </c>
      <c r="K23" s="117">
        <f t="shared" si="1"/>
        <v>-13234572.505444471</v>
      </c>
      <c r="L23" s="117">
        <f t="shared" si="1"/>
        <v>0</v>
      </c>
      <c r="M23" s="117">
        <f t="shared" si="1"/>
        <v>0</v>
      </c>
      <c r="N23" s="117">
        <f t="shared" si="1"/>
        <v>2870143.8172255945</v>
      </c>
      <c r="O23" s="136">
        <f t="shared" si="1"/>
        <v>0</v>
      </c>
      <c r="P23" s="117">
        <f t="shared" si="1"/>
        <v>0</v>
      </c>
      <c r="Q23" s="117">
        <f t="shared" si="1"/>
        <v>3776121.3475387204</v>
      </c>
      <c r="R23" s="117">
        <f t="shared" si="1"/>
        <v>1121587.4603042421</v>
      </c>
      <c r="S23" s="117">
        <f t="shared" si="1"/>
        <v>0</v>
      </c>
      <c r="T23" s="117">
        <f t="shared" si="1"/>
        <v>2673245.4128840454</v>
      </c>
      <c r="U23" s="117">
        <f t="shared" si="1"/>
        <v>0</v>
      </c>
      <c r="V23" s="117">
        <f t="shared" si="1"/>
        <v>0</v>
      </c>
      <c r="W23" s="117">
        <f t="shared" si="1"/>
        <v>3804189.3022355889</v>
      </c>
      <c r="X23" s="117">
        <f t="shared" si="1"/>
        <v>0</v>
      </c>
      <c r="Y23" s="117">
        <f t="shared" si="1"/>
        <v>0</v>
      </c>
      <c r="Z23" s="117">
        <f t="shared" si="1"/>
        <v>3804189.3022355889</v>
      </c>
      <c r="AA23" s="136">
        <f t="shared" si="1"/>
        <v>0</v>
      </c>
      <c r="AB23" s="117">
        <f t="shared" si="1"/>
        <v>0</v>
      </c>
      <c r="AC23" s="117">
        <f t="shared" si="1"/>
        <v>4032633.3357274453</v>
      </c>
      <c r="AD23" s="117">
        <f t="shared" si="1"/>
        <v>1203306.5863868536</v>
      </c>
      <c r="AE23" s="117">
        <f t="shared" si="1"/>
        <v>0</v>
      </c>
      <c r="AF23" s="117">
        <f t="shared" si="1"/>
        <v>2829326.7493405915</v>
      </c>
      <c r="AG23" s="117">
        <f t="shared" si="1"/>
        <v>0</v>
      </c>
      <c r="AH23" s="117">
        <f t="shared" si="1"/>
        <v>0</v>
      </c>
      <c r="AI23" s="117">
        <f t="shared" si="1"/>
        <v>4032633.3357274453</v>
      </c>
      <c r="AJ23" s="117">
        <f t="shared" si="1"/>
        <v>0</v>
      </c>
      <c r="AK23" s="117">
        <f t="shared" si="1"/>
        <v>0</v>
      </c>
      <c r="AL23" s="117">
        <f t="shared" si="1"/>
        <v>4032633.3357274453</v>
      </c>
    </row>
    <row r="24" spans="1:38" x14ac:dyDescent="0.25">
      <c r="A24" s="90" t="s">
        <v>927</v>
      </c>
      <c r="C24" s="114">
        <f>SUM(C22:C23)</f>
        <v>0</v>
      </c>
      <c r="D24" s="114">
        <f t="shared" ref="D24:AL24" si="2">SUM(D22:D23)</f>
        <v>0</v>
      </c>
      <c r="E24" s="114">
        <f t="shared" si="2"/>
        <v>2575665.8166304659</v>
      </c>
      <c r="F24" s="114">
        <f t="shared" si="2"/>
        <v>460300.35976015992</v>
      </c>
      <c r="G24" s="114">
        <f t="shared" si="2"/>
        <v>0</v>
      </c>
      <c r="H24" s="114">
        <f t="shared" si="2"/>
        <v>3219994.3009836455</v>
      </c>
      <c r="I24" s="114">
        <f t="shared" si="2"/>
        <v>0</v>
      </c>
      <c r="J24" s="114">
        <f t="shared" si="2"/>
        <v>0</v>
      </c>
      <c r="K24" s="114">
        <f t="shared" si="2"/>
        <v>-13283083.84331475</v>
      </c>
      <c r="L24" s="114">
        <f t="shared" si="2"/>
        <v>0</v>
      </c>
      <c r="M24" s="114">
        <f t="shared" si="2"/>
        <v>0</v>
      </c>
      <c r="N24" s="114">
        <f t="shared" si="2"/>
        <v>2821632.4793553161</v>
      </c>
      <c r="O24" s="135">
        <f t="shared" si="2"/>
        <v>0</v>
      </c>
      <c r="P24" s="114">
        <f t="shared" si="2"/>
        <v>0</v>
      </c>
      <c r="Q24" s="114">
        <f t="shared" si="2"/>
        <v>3727610.009668442</v>
      </c>
      <c r="R24" s="114">
        <f t="shared" si="2"/>
        <v>1121587.4603042421</v>
      </c>
      <c r="S24" s="114">
        <f t="shared" si="2"/>
        <v>0</v>
      </c>
      <c r="T24" s="114">
        <f t="shared" si="2"/>
        <v>2624734.075013767</v>
      </c>
      <c r="U24" s="114">
        <f t="shared" si="2"/>
        <v>0</v>
      </c>
      <c r="V24" s="114">
        <f t="shared" si="2"/>
        <v>0</v>
      </c>
      <c r="W24" s="114">
        <f t="shared" si="2"/>
        <v>3755677.9643653105</v>
      </c>
      <c r="X24" s="114">
        <f t="shared" si="2"/>
        <v>0</v>
      </c>
      <c r="Y24" s="114">
        <f t="shared" si="2"/>
        <v>0</v>
      </c>
      <c r="Z24" s="114">
        <f t="shared" si="2"/>
        <v>3755677.9643653105</v>
      </c>
      <c r="AA24" s="135">
        <f t="shared" si="2"/>
        <v>0</v>
      </c>
      <c r="AB24" s="114">
        <f t="shared" si="2"/>
        <v>0</v>
      </c>
      <c r="AC24" s="114">
        <f t="shared" si="2"/>
        <v>3984121.9978571669</v>
      </c>
      <c r="AD24" s="114">
        <f t="shared" si="2"/>
        <v>1203306.5863868536</v>
      </c>
      <c r="AE24" s="114">
        <f t="shared" si="2"/>
        <v>0</v>
      </c>
      <c r="AF24" s="114">
        <f t="shared" si="2"/>
        <v>2780815.4114703131</v>
      </c>
      <c r="AG24" s="114">
        <f t="shared" si="2"/>
        <v>0</v>
      </c>
      <c r="AH24" s="114">
        <f t="shared" si="2"/>
        <v>0</v>
      </c>
      <c r="AI24" s="114">
        <f t="shared" si="2"/>
        <v>3984121.9978571669</v>
      </c>
      <c r="AJ24" s="114">
        <f t="shared" si="2"/>
        <v>0</v>
      </c>
      <c r="AK24" s="114">
        <f t="shared" si="2"/>
        <v>0</v>
      </c>
      <c r="AL24" s="114">
        <f t="shared" si="2"/>
        <v>3984121.9978571669</v>
      </c>
    </row>
    <row r="25" spans="1:38" x14ac:dyDescent="0.25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>
        <f>SUM(I24:N24)-'Reg Asset and Liab'!C28</f>
        <v>0</v>
      </c>
      <c r="O25" s="137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>
        <f>SUM(O24:Z24)-'Reg Asset and Liab'!D28</f>
        <v>0.62574516981840134</v>
      </c>
      <c r="AA25" s="137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>
        <f>SUM(AA24:AL24)-'Reg Asset and Liab'!E28</f>
        <v>0</v>
      </c>
    </row>
    <row r="27" spans="1:38" ht="15" x14ac:dyDescent="0.4">
      <c r="A27" s="89" t="s">
        <v>105</v>
      </c>
      <c r="C27" s="110" t="s">
        <v>913</v>
      </c>
      <c r="D27" s="110" t="s">
        <v>914</v>
      </c>
      <c r="E27" s="110" t="s">
        <v>915</v>
      </c>
      <c r="F27" s="110" t="s">
        <v>916</v>
      </c>
      <c r="G27" s="110" t="s">
        <v>917</v>
      </c>
      <c r="H27" s="110" t="s">
        <v>918</v>
      </c>
      <c r="I27" s="110" t="s">
        <v>919</v>
      </c>
      <c r="J27" s="110" t="s">
        <v>920</v>
      </c>
      <c r="K27" s="110" t="s">
        <v>921</v>
      </c>
      <c r="L27" s="110" t="s">
        <v>922</v>
      </c>
      <c r="M27" s="110" t="s">
        <v>923</v>
      </c>
      <c r="N27" s="110" t="s">
        <v>924</v>
      </c>
      <c r="O27" s="134" t="s">
        <v>913</v>
      </c>
      <c r="P27" s="110" t="s">
        <v>914</v>
      </c>
      <c r="Q27" s="110" t="s">
        <v>915</v>
      </c>
      <c r="R27" s="110" t="s">
        <v>916</v>
      </c>
      <c r="S27" s="110" t="s">
        <v>917</v>
      </c>
      <c r="T27" s="110" t="s">
        <v>918</v>
      </c>
      <c r="U27" s="110" t="s">
        <v>919</v>
      </c>
      <c r="V27" s="110" t="s">
        <v>920</v>
      </c>
      <c r="W27" s="110" t="s">
        <v>921</v>
      </c>
      <c r="X27" s="110" t="s">
        <v>922</v>
      </c>
      <c r="Y27" s="110" t="s">
        <v>923</v>
      </c>
      <c r="Z27" s="110" t="s">
        <v>924</v>
      </c>
      <c r="AA27" s="134" t="s">
        <v>913</v>
      </c>
      <c r="AB27" s="110" t="s">
        <v>914</v>
      </c>
      <c r="AC27" s="110" t="s">
        <v>915</v>
      </c>
      <c r="AD27" s="110" t="s">
        <v>916</v>
      </c>
      <c r="AE27" s="110" t="s">
        <v>917</v>
      </c>
      <c r="AF27" s="110" t="s">
        <v>918</v>
      </c>
      <c r="AG27" s="110" t="s">
        <v>919</v>
      </c>
      <c r="AH27" s="110" t="s">
        <v>920</v>
      </c>
      <c r="AI27" s="110" t="s">
        <v>921</v>
      </c>
      <c r="AJ27" s="110" t="s">
        <v>922</v>
      </c>
      <c r="AK27" s="110" t="s">
        <v>923</v>
      </c>
      <c r="AL27" s="110" t="s">
        <v>924</v>
      </c>
    </row>
    <row r="29" spans="1:38" x14ac:dyDescent="0.25">
      <c r="A29" s="90" t="s">
        <v>97</v>
      </c>
      <c r="C29" s="53"/>
      <c r="D29" s="53"/>
      <c r="E29" s="53">
        <v>281927.67315754795</v>
      </c>
      <c r="F29" s="53"/>
      <c r="G29" s="53"/>
      <c r="H29" s="53">
        <v>281927.67315754795</v>
      </c>
      <c r="I29" s="53"/>
      <c r="J29" s="53"/>
      <c r="K29" s="53">
        <f>+H29</f>
        <v>281927.67315754795</v>
      </c>
      <c r="L29" s="53"/>
      <c r="M29" s="53"/>
      <c r="N29" s="53">
        <f>+K29</f>
        <v>281927.67315754795</v>
      </c>
      <c r="O29" s="54"/>
      <c r="P29" s="53"/>
      <c r="Q29" s="53">
        <f>+'Reg Asset and Liab'!D86/4</f>
        <v>258027.67315754792</v>
      </c>
      <c r="R29" s="53"/>
      <c r="S29" s="53"/>
      <c r="T29" s="53">
        <f>+Q29</f>
        <v>258027.67315754792</v>
      </c>
      <c r="U29" s="53"/>
      <c r="V29" s="53"/>
      <c r="W29" s="53">
        <f>+T29</f>
        <v>258027.67315754792</v>
      </c>
      <c r="X29" s="53"/>
      <c r="Y29" s="53"/>
      <c r="Z29" s="53">
        <f>+W29</f>
        <v>258027.67315754792</v>
      </c>
      <c r="AA29" s="54"/>
      <c r="AB29" s="53"/>
      <c r="AC29" s="53">
        <f>+'Reg Asset and Liab'!E86/4</f>
        <v>240525.17315754792</v>
      </c>
      <c r="AD29" s="53"/>
      <c r="AE29" s="53"/>
      <c r="AF29" s="53">
        <f>+AC29</f>
        <v>240525.17315754792</v>
      </c>
      <c r="AG29" s="53"/>
      <c r="AH29" s="53"/>
      <c r="AI29" s="53">
        <f>+AF29</f>
        <v>240525.17315754792</v>
      </c>
      <c r="AJ29" s="53"/>
      <c r="AK29" s="53"/>
      <c r="AL29" s="53">
        <f>+AI29</f>
        <v>240525.17315754792</v>
      </c>
    </row>
    <row r="30" spans="1:38" x14ac:dyDescent="0.25">
      <c r="A30" s="90" t="s">
        <v>491</v>
      </c>
      <c r="C30" s="118">
        <f t="shared" ref="C30:AL30" si="3">+$J$16</f>
        <v>0.33244503664223868</v>
      </c>
      <c r="D30" s="118">
        <f t="shared" si="3"/>
        <v>0.33244503664223868</v>
      </c>
      <c r="E30" s="118">
        <f t="shared" si="3"/>
        <v>0.33244503664223868</v>
      </c>
      <c r="F30" s="118">
        <f t="shared" si="3"/>
        <v>0.33244503664223868</v>
      </c>
      <c r="G30" s="118">
        <f t="shared" si="3"/>
        <v>0.33244503664223868</v>
      </c>
      <c r="H30" s="118">
        <f t="shared" si="3"/>
        <v>0.33244503664223868</v>
      </c>
      <c r="I30" s="118">
        <f t="shared" si="3"/>
        <v>0.33244503664223868</v>
      </c>
      <c r="J30" s="118">
        <f t="shared" si="3"/>
        <v>0.33244503664223868</v>
      </c>
      <c r="K30" s="118">
        <f t="shared" si="3"/>
        <v>0.33244503664223868</v>
      </c>
      <c r="L30" s="118">
        <f t="shared" si="3"/>
        <v>0.33244503664223868</v>
      </c>
      <c r="M30" s="118">
        <f t="shared" si="3"/>
        <v>0.33244503664223868</v>
      </c>
      <c r="N30" s="118">
        <f t="shared" si="3"/>
        <v>0.33244503664223868</v>
      </c>
      <c r="O30" s="138">
        <f t="shared" si="3"/>
        <v>0.33244503664223868</v>
      </c>
      <c r="P30" s="118">
        <f t="shared" si="3"/>
        <v>0.33244503664223868</v>
      </c>
      <c r="Q30" s="118">
        <f t="shared" si="3"/>
        <v>0.33244503664223868</v>
      </c>
      <c r="R30" s="118">
        <f t="shared" si="3"/>
        <v>0.33244503664223868</v>
      </c>
      <c r="S30" s="118">
        <f t="shared" si="3"/>
        <v>0.33244503664223868</v>
      </c>
      <c r="T30" s="118">
        <f t="shared" si="3"/>
        <v>0.33244503664223868</v>
      </c>
      <c r="U30" s="118">
        <f t="shared" si="3"/>
        <v>0.33244503664223868</v>
      </c>
      <c r="V30" s="118">
        <f t="shared" si="3"/>
        <v>0.33244503664223868</v>
      </c>
      <c r="W30" s="118">
        <f t="shared" si="3"/>
        <v>0.33244503664223868</v>
      </c>
      <c r="X30" s="118">
        <f t="shared" si="3"/>
        <v>0.33244503664223868</v>
      </c>
      <c r="Y30" s="118">
        <f t="shared" si="3"/>
        <v>0.33244503664223868</v>
      </c>
      <c r="Z30" s="118">
        <f t="shared" si="3"/>
        <v>0.33244503664223868</v>
      </c>
      <c r="AA30" s="138">
        <f t="shared" si="3"/>
        <v>0.33244503664223868</v>
      </c>
      <c r="AB30" s="118">
        <f t="shared" si="3"/>
        <v>0.33244503664223868</v>
      </c>
      <c r="AC30" s="118">
        <f t="shared" si="3"/>
        <v>0.33244503664223868</v>
      </c>
      <c r="AD30" s="118">
        <f t="shared" si="3"/>
        <v>0.33244503664223868</v>
      </c>
      <c r="AE30" s="118">
        <f t="shared" si="3"/>
        <v>0.33244503664223868</v>
      </c>
      <c r="AF30" s="118">
        <f t="shared" si="3"/>
        <v>0.33244503664223868</v>
      </c>
      <c r="AG30" s="118">
        <f t="shared" si="3"/>
        <v>0.33244503664223868</v>
      </c>
      <c r="AH30" s="118">
        <f t="shared" si="3"/>
        <v>0.33244503664223868</v>
      </c>
      <c r="AI30" s="118">
        <f t="shared" si="3"/>
        <v>0.33244503664223868</v>
      </c>
      <c r="AJ30" s="118">
        <f t="shared" si="3"/>
        <v>0.33244503664223868</v>
      </c>
      <c r="AK30" s="118">
        <f t="shared" si="3"/>
        <v>0.33244503664223868</v>
      </c>
      <c r="AL30" s="118">
        <f t="shared" si="3"/>
        <v>0.33244503664223868</v>
      </c>
    </row>
    <row r="31" spans="1:38" x14ac:dyDescent="0.25">
      <c r="C31" s="53">
        <f>+C29*C30</f>
        <v>0</v>
      </c>
      <c r="D31" s="53">
        <f t="shared" ref="D31:AL31" si="4">+D29*D30</f>
        <v>0</v>
      </c>
      <c r="E31" s="53">
        <f t="shared" si="4"/>
        <v>93725.455633322112</v>
      </c>
      <c r="F31" s="53">
        <f t="shared" si="4"/>
        <v>0</v>
      </c>
      <c r="G31" s="53">
        <f t="shared" si="4"/>
        <v>0</v>
      </c>
      <c r="H31" s="53">
        <f t="shared" si="4"/>
        <v>93725.455633322112</v>
      </c>
      <c r="I31" s="53">
        <f t="shared" si="4"/>
        <v>0</v>
      </c>
      <c r="J31" s="53">
        <f t="shared" si="4"/>
        <v>0</v>
      </c>
      <c r="K31" s="53">
        <f t="shared" si="4"/>
        <v>93725.455633322112</v>
      </c>
      <c r="L31" s="53">
        <f t="shared" si="4"/>
        <v>0</v>
      </c>
      <c r="M31" s="53">
        <f t="shared" si="4"/>
        <v>0</v>
      </c>
      <c r="N31" s="53">
        <f t="shared" si="4"/>
        <v>93725.455633322112</v>
      </c>
      <c r="O31" s="54">
        <f t="shared" si="4"/>
        <v>0</v>
      </c>
      <c r="P31" s="53">
        <f t="shared" si="4"/>
        <v>0</v>
      </c>
      <c r="Q31" s="53">
        <f t="shared" si="4"/>
        <v>85780.019257572611</v>
      </c>
      <c r="R31" s="53">
        <f t="shared" si="4"/>
        <v>0</v>
      </c>
      <c r="S31" s="53">
        <f t="shared" si="4"/>
        <v>0</v>
      </c>
      <c r="T31" s="53">
        <f t="shared" si="4"/>
        <v>85780.019257572611</v>
      </c>
      <c r="U31" s="53">
        <f t="shared" si="4"/>
        <v>0</v>
      </c>
      <c r="V31" s="53">
        <f t="shared" si="4"/>
        <v>0</v>
      </c>
      <c r="W31" s="53">
        <f t="shared" si="4"/>
        <v>85780.019257572611</v>
      </c>
      <c r="X31" s="53">
        <f t="shared" si="4"/>
        <v>0</v>
      </c>
      <c r="Y31" s="53">
        <f t="shared" si="4"/>
        <v>0</v>
      </c>
      <c r="Z31" s="53">
        <f t="shared" si="4"/>
        <v>85780.019257572611</v>
      </c>
      <c r="AA31" s="54">
        <f t="shared" si="4"/>
        <v>0</v>
      </c>
      <c r="AB31" s="53">
        <f t="shared" si="4"/>
        <v>0</v>
      </c>
      <c r="AC31" s="53">
        <f t="shared" si="4"/>
        <v>79961.400003741815</v>
      </c>
      <c r="AD31" s="53">
        <f t="shared" si="4"/>
        <v>0</v>
      </c>
      <c r="AE31" s="53">
        <f t="shared" si="4"/>
        <v>0</v>
      </c>
      <c r="AF31" s="53">
        <f t="shared" si="4"/>
        <v>79961.400003741815</v>
      </c>
      <c r="AG31" s="53">
        <f t="shared" si="4"/>
        <v>0</v>
      </c>
      <c r="AH31" s="53">
        <f t="shared" si="4"/>
        <v>0</v>
      </c>
      <c r="AI31" s="53">
        <f t="shared" si="4"/>
        <v>79961.400003741815</v>
      </c>
      <c r="AJ31" s="53">
        <f t="shared" si="4"/>
        <v>0</v>
      </c>
      <c r="AK31" s="53">
        <f t="shared" si="4"/>
        <v>0</v>
      </c>
      <c r="AL31" s="53">
        <f t="shared" si="4"/>
        <v>79961.400003741815</v>
      </c>
    </row>
    <row r="32" spans="1:38" x14ac:dyDescent="0.25">
      <c r="N32" s="112">
        <f>SUM(I31:N31)-'Reg Asset and Liab'!C35</f>
        <v>0</v>
      </c>
      <c r="Z32" s="112">
        <f>SUM(O31:Z31)-'Reg Asset and Liab'!D35</f>
        <v>0</v>
      </c>
      <c r="AL32" s="112">
        <f>SUM(AA31:AL31)-'Reg Asset and Liab'!E35</f>
        <v>0</v>
      </c>
    </row>
    <row r="33" spans="1:38" x14ac:dyDescent="0.25">
      <c r="A33" s="90" t="s">
        <v>907</v>
      </c>
      <c r="C33" s="53"/>
      <c r="D33" s="53"/>
      <c r="E33" s="53">
        <v>1976988</v>
      </c>
      <c r="F33" s="53"/>
      <c r="G33" s="53"/>
      <c r="H33" s="53">
        <v>2113603.4026489053</v>
      </c>
      <c r="I33" s="53"/>
      <c r="J33" s="53"/>
      <c r="K33" s="53">
        <f>SUM('Reg Asset and Liab'!C60,'Reg Asset and Liab'!C69)*0.75-SUM(C33:J33)</f>
        <v>1344019.5384760955</v>
      </c>
      <c r="L33" s="53"/>
      <c r="M33" s="53"/>
      <c r="N33" s="53">
        <f>SUM('Reg Asset and Liab'!C60,'Reg Asset and Liab'!C69)/4</f>
        <v>1811536.9803750003</v>
      </c>
      <c r="O33" s="54"/>
      <c r="P33" s="53"/>
      <c r="Q33" s="53">
        <f>+'Reg Asset and Liab'!D37/4</f>
        <v>2525254.166875001</v>
      </c>
      <c r="R33" s="53">
        <f>+'Reg Asset and Liab'!D37/12</f>
        <v>841751.38895833364</v>
      </c>
      <c r="S33" s="53"/>
      <c r="T33" s="53">
        <f>+Q33-R33</f>
        <v>1683502.7779166675</v>
      </c>
      <c r="U33" s="53"/>
      <c r="V33" s="53"/>
      <c r="W33" s="53">
        <f>+Q33</f>
        <v>2525254.166875001</v>
      </c>
      <c r="X33" s="53"/>
      <c r="Y33" s="53"/>
      <c r="Z33" s="53">
        <f>+W33</f>
        <v>2525254.166875001</v>
      </c>
      <c r="AA33" s="54"/>
      <c r="AB33" s="53"/>
      <c r="AC33" s="53">
        <f>+'Reg Asset and Liab'!E37/4</f>
        <v>2709244.7792500006</v>
      </c>
      <c r="AD33" s="53">
        <f>+'Reg Asset and Liab'!E37/12</f>
        <v>903081.59308333357</v>
      </c>
      <c r="AE33" s="53"/>
      <c r="AF33" s="53">
        <f>+AC33-AD33</f>
        <v>1806163.1861666669</v>
      </c>
      <c r="AG33" s="53"/>
      <c r="AH33" s="53"/>
      <c r="AI33" s="53">
        <f>+AC33</f>
        <v>2709244.7792500006</v>
      </c>
      <c r="AJ33" s="53"/>
      <c r="AK33" s="53"/>
      <c r="AL33" s="53">
        <f>+AI33</f>
        <v>2709244.7792500006</v>
      </c>
    </row>
    <row r="34" spans="1:38" x14ac:dyDescent="0.25">
      <c r="A34" s="90" t="s">
        <v>486</v>
      </c>
      <c r="C34" s="118">
        <f t="shared" ref="C34:AL34" si="5">+$J$13</f>
        <v>1.3324450366422387</v>
      </c>
      <c r="D34" s="118">
        <f t="shared" si="5"/>
        <v>1.3324450366422387</v>
      </c>
      <c r="E34" s="118">
        <f t="shared" si="5"/>
        <v>1.3324450366422387</v>
      </c>
      <c r="F34" s="118">
        <f t="shared" si="5"/>
        <v>1.3324450366422387</v>
      </c>
      <c r="G34" s="118">
        <f t="shared" si="5"/>
        <v>1.3324450366422387</v>
      </c>
      <c r="H34" s="118">
        <f t="shared" si="5"/>
        <v>1.3324450366422387</v>
      </c>
      <c r="I34" s="118">
        <f t="shared" si="5"/>
        <v>1.3324450366422387</v>
      </c>
      <c r="J34" s="118">
        <f t="shared" si="5"/>
        <v>1.3324450366422387</v>
      </c>
      <c r="K34" s="118">
        <f t="shared" si="5"/>
        <v>1.3324450366422387</v>
      </c>
      <c r="L34" s="118">
        <f t="shared" si="5"/>
        <v>1.3324450366422387</v>
      </c>
      <c r="M34" s="118">
        <f t="shared" si="5"/>
        <v>1.3324450366422387</v>
      </c>
      <c r="N34" s="118">
        <f t="shared" si="5"/>
        <v>1.3324450366422387</v>
      </c>
      <c r="O34" s="138">
        <f t="shared" si="5"/>
        <v>1.3324450366422387</v>
      </c>
      <c r="P34" s="118">
        <f t="shared" si="5"/>
        <v>1.3324450366422387</v>
      </c>
      <c r="Q34" s="118">
        <f t="shared" si="5"/>
        <v>1.3324450366422387</v>
      </c>
      <c r="R34" s="118">
        <f t="shared" si="5"/>
        <v>1.3324450366422387</v>
      </c>
      <c r="S34" s="118">
        <f t="shared" si="5"/>
        <v>1.3324450366422387</v>
      </c>
      <c r="T34" s="118">
        <f t="shared" si="5"/>
        <v>1.3324450366422387</v>
      </c>
      <c r="U34" s="118">
        <f t="shared" si="5"/>
        <v>1.3324450366422387</v>
      </c>
      <c r="V34" s="118">
        <f t="shared" si="5"/>
        <v>1.3324450366422387</v>
      </c>
      <c r="W34" s="118">
        <f t="shared" si="5"/>
        <v>1.3324450366422387</v>
      </c>
      <c r="X34" s="118">
        <f t="shared" si="5"/>
        <v>1.3324450366422387</v>
      </c>
      <c r="Y34" s="118">
        <f t="shared" si="5"/>
        <v>1.3324450366422387</v>
      </c>
      <c r="Z34" s="118">
        <f t="shared" si="5"/>
        <v>1.3324450366422387</v>
      </c>
      <c r="AA34" s="138">
        <f t="shared" si="5"/>
        <v>1.3324450366422387</v>
      </c>
      <c r="AB34" s="118">
        <f t="shared" si="5"/>
        <v>1.3324450366422387</v>
      </c>
      <c r="AC34" s="118">
        <f t="shared" si="5"/>
        <v>1.3324450366422387</v>
      </c>
      <c r="AD34" s="118">
        <f t="shared" si="5"/>
        <v>1.3324450366422387</v>
      </c>
      <c r="AE34" s="118">
        <f t="shared" si="5"/>
        <v>1.3324450366422387</v>
      </c>
      <c r="AF34" s="118">
        <f t="shared" si="5"/>
        <v>1.3324450366422387</v>
      </c>
      <c r="AG34" s="118">
        <f t="shared" si="5"/>
        <v>1.3324450366422387</v>
      </c>
      <c r="AH34" s="118">
        <f t="shared" si="5"/>
        <v>1.3324450366422387</v>
      </c>
      <c r="AI34" s="118">
        <f t="shared" si="5"/>
        <v>1.3324450366422387</v>
      </c>
      <c r="AJ34" s="118">
        <f t="shared" si="5"/>
        <v>1.3324450366422387</v>
      </c>
      <c r="AK34" s="118">
        <f t="shared" si="5"/>
        <v>1.3324450366422387</v>
      </c>
      <c r="AL34" s="118">
        <f t="shared" si="5"/>
        <v>1.3324450366422387</v>
      </c>
    </row>
    <row r="35" spans="1:38" x14ac:dyDescent="0.25">
      <c r="C35" s="53">
        <f t="shared" ref="C35:AL35" si="6">+C33*C34</f>
        <v>0</v>
      </c>
      <c r="D35" s="53">
        <f t="shared" si="6"/>
        <v>0</v>
      </c>
      <c r="E35" s="53">
        <f t="shared" si="6"/>
        <v>2634227.8481012662</v>
      </c>
      <c r="F35" s="53">
        <f t="shared" si="6"/>
        <v>0</v>
      </c>
      <c r="G35" s="53">
        <f t="shared" si="6"/>
        <v>0</v>
      </c>
      <c r="H35" s="53">
        <f t="shared" si="6"/>
        <v>2816260.3632896808</v>
      </c>
      <c r="I35" s="53">
        <f t="shared" si="6"/>
        <v>0</v>
      </c>
      <c r="J35" s="53">
        <f t="shared" si="6"/>
        <v>0</v>
      </c>
      <c r="K35" s="53">
        <f t="shared" si="6"/>
        <v>1790832.1631926659</v>
      </c>
      <c r="L35" s="53">
        <f t="shared" si="6"/>
        <v>0</v>
      </c>
      <c r="M35" s="53">
        <f t="shared" si="6"/>
        <v>0</v>
      </c>
      <c r="N35" s="53">
        <f t="shared" si="6"/>
        <v>2413773.4581945376</v>
      </c>
      <c r="O35" s="54">
        <f t="shared" si="6"/>
        <v>0</v>
      </c>
      <c r="P35" s="53">
        <f t="shared" si="6"/>
        <v>0</v>
      </c>
      <c r="Q35" s="53">
        <f t="shared" si="6"/>
        <v>3364762.3809127267</v>
      </c>
      <c r="R35" s="53">
        <f t="shared" si="6"/>
        <v>1121587.4603042421</v>
      </c>
      <c r="S35" s="53">
        <f t="shared" si="6"/>
        <v>0</v>
      </c>
      <c r="T35" s="53">
        <f t="shared" si="6"/>
        <v>2243174.9206084847</v>
      </c>
      <c r="U35" s="53">
        <f t="shared" si="6"/>
        <v>0</v>
      </c>
      <c r="V35" s="53">
        <f t="shared" si="6"/>
        <v>0</v>
      </c>
      <c r="W35" s="53">
        <f t="shared" si="6"/>
        <v>3364762.3809127267</v>
      </c>
      <c r="X35" s="53">
        <f t="shared" si="6"/>
        <v>0</v>
      </c>
      <c r="Y35" s="53">
        <f t="shared" si="6"/>
        <v>0</v>
      </c>
      <c r="Z35" s="53">
        <f t="shared" si="6"/>
        <v>3364762.3809127267</v>
      </c>
      <c r="AA35" s="54">
        <f t="shared" si="6"/>
        <v>0</v>
      </c>
      <c r="AB35" s="53">
        <f t="shared" si="6"/>
        <v>0</v>
      </c>
      <c r="AC35" s="53">
        <f t="shared" si="6"/>
        <v>3609919.759160561</v>
      </c>
      <c r="AD35" s="53">
        <f t="shared" si="6"/>
        <v>1203306.5863868536</v>
      </c>
      <c r="AE35" s="53">
        <f t="shared" si="6"/>
        <v>0</v>
      </c>
      <c r="AF35" s="53">
        <f t="shared" si="6"/>
        <v>2406613.1727737072</v>
      </c>
      <c r="AG35" s="53">
        <f t="shared" si="6"/>
        <v>0</v>
      </c>
      <c r="AH35" s="53">
        <f t="shared" si="6"/>
        <v>0</v>
      </c>
      <c r="AI35" s="53">
        <f t="shared" si="6"/>
        <v>3609919.759160561</v>
      </c>
      <c r="AJ35" s="53">
        <f t="shared" si="6"/>
        <v>0</v>
      </c>
      <c r="AK35" s="53">
        <f t="shared" si="6"/>
        <v>0</v>
      </c>
      <c r="AL35" s="53">
        <f t="shared" si="6"/>
        <v>3609919.759160561</v>
      </c>
    </row>
    <row r="36" spans="1:38" x14ac:dyDescent="0.25">
      <c r="N36" s="112">
        <f>SUM(I35:N35)-'Reg Asset and Liab'!C39</f>
        <v>0</v>
      </c>
      <c r="Z36" s="112">
        <f>SUM(O35:Z35)-'Reg Asset and Liab'!D39</f>
        <v>0</v>
      </c>
      <c r="AL36" s="112">
        <f>SUM(AA35:AL35)-'Reg Asset and Liab'!E39</f>
        <v>0</v>
      </c>
    </row>
    <row r="37" spans="1:38" x14ac:dyDescent="0.25">
      <c r="A37" s="90" t="s">
        <v>493</v>
      </c>
      <c r="C37" s="53"/>
      <c r="D37" s="53"/>
      <c r="E37" s="53">
        <v>-36407.759071643988</v>
      </c>
      <c r="F37" s="53"/>
      <c r="G37" s="53"/>
      <c r="H37" s="53">
        <v>-36407.759071643988</v>
      </c>
      <c r="I37" s="53"/>
      <c r="J37" s="53"/>
      <c r="K37" s="53">
        <f>+H37</f>
        <v>-36407.759071643988</v>
      </c>
      <c r="L37" s="53"/>
      <c r="M37" s="53"/>
      <c r="N37" s="53">
        <f>+K37</f>
        <v>-36407.759071643988</v>
      </c>
      <c r="O37" s="54"/>
      <c r="P37" s="53"/>
      <c r="Q37" s="53">
        <f>+'Reg Asset and Liab'!D90/4</f>
        <v>-36407.759071643988</v>
      </c>
      <c r="R37" s="53"/>
      <c r="S37" s="53"/>
      <c r="T37" s="53">
        <f>+Q37</f>
        <v>-36407.759071643988</v>
      </c>
      <c r="U37" s="53"/>
      <c r="V37" s="53"/>
      <c r="W37" s="53">
        <f>+T37</f>
        <v>-36407.759071643988</v>
      </c>
      <c r="X37" s="53"/>
      <c r="Y37" s="53"/>
      <c r="Z37" s="53">
        <f>+W37</f>
        <v>-36407.759071643988</v>
      </c>
      <c r="AA37" s="54"/>
      <c r="AB37" s="53"/>
      <c r="AC37" s="53">
        <f>+'Reg Asset and Liab'!E90/4</f>
        <v>-36407.759071643988</v>
      </c>
      <c r="AD37" s="53"/>
      <c r="AE37" s="53"/>
      <c r="AF37" s="53">
        <f>+AC37</f>
        <v>-36407.759071643988</v>
      </c>
      <c r="AG37" s="53"/>
      <c r="AH37" s="53"/>
      <c r="AI37" s="53">
        <f>+AF37</f>
        <v>-36407.759071643988</v>
      </c>
      <c r="AJ37" s="53"/>
      <c r="AK37" s="53"/>
      <c r="AL37" s="53">
        <f>+AI37</f>
        <v>-36407.759071643988</v>
      </c>
    </row>
    <row r="38" spans="1:38" x14ac:dyDescent="0.25">
      <c r="A38" s="90" t="s">
        <v>486</v>
      </c>
      <c r="C38" s="118">
        <f t="shared" ref="C38:AL38" si="7">+$J$13</f>
        <v>1.3324450366422387</v>
      </c>
      <c r="D38" s="118">
        <f t="shared" si="7"/>
        <v>1.3324450366422387</v>
      </c>
      <c r="E38" s="118">
        <f t="shared" si="7"/>
        <v>1.3324450366422387</v>
      </c>
      <c r="F38" s="118">
        <f t="shared" si="7"/>
        <v>1.3324450366422387</v>
      </c>
      <c r="G38" s="118">
        <f t="shared" si="7"/>
        <v>1.3324450366422387</v>
      </c>
      <c r="H38" s="118">
        <f t="shared" si="7"/>
        <v>1.3324450366422387</v>
      </c>
      <c r="I38" s="118">
        <f t="shared" si="7"/>
        <v>1.3324450366422387</v>
      </c>
      <c r="J38" s="118">
        <f t="shared" si="7"/>
        <v>1.3324450366422387</v>
      </c>
      <c r="K38" s="118">
        <f t="shared" si="7"/>
        <v>1.3324450366422387</v>
      </c>
      <c r="L38" s="118">
        <f t="shared" si="7"/>
        <v>1.3324450366422387</v>
      </c>
      <c r="M38" s="118">
        <f t="shared" si="7"/>
        <v>1.3324450366422387</v>
      </c>
      <c r="N38" s="118">
        <f t="shared" si="7"/>
        <v>1.3324450366422387</v>
      </c>
      <c r="O38" s="138">
        <f t="shared" si="7"/>
        <v>1.3324450366422387</v>
      </c>
      <c r="P38" s="118">
        <f t="shared" si="7"/>
        <v>1.3324450366422387</v>
      </c>
      <c r="Q38" s="118">
        <f t="shared" si="7"/>
        <v>1.3324450366422387</v>
      </c>
      <c r="R38" s="118">
        <f t="shared" si="7"/>
        <v>1.3324450366422387</v>
      </c>
      <c r="S38" s="118">
        <f t="shared" si="7"/>
        <v>1.3324450366422387</v>
      </c>
      <c r="T38" s="118">
        <f t="shared" si="7"/>
        <v>1.3324450366422387</v>
      </c>
      <c r="U38" s="118">
        <f t="shared" si="7"/>
        <v>1.3324450366422387</v>
      </c>
      <c r="V38" s="118">
        <f t="shared" si="7"/>
        <v>1.3324450366422387</v>
      </c>
      <c r="W38" s="118">
        <f t="shared" si="7"/>
        <v>1.3324450366422387</v>
      </c>
      <c r="X38" s="118">
        <f t="shared" si="7"/>
        <v>1.3324450366422387</v>
      </c>
      <c r="Y38" s="118">
        <f t="shared" si="7"/>
        <v>1.3324450366422387</v>
      </c>
      <c r="Z38" s="118">
        <f t="shared" si="7"/>
        <v>1.3324450366422387</v>
      </c>
      <c r="AA38" s="138">
        <f t="shared" si="7"/>
        <v>1.3324450366422387</v>
      </c>
      <c r="AB38" s="118">
        <f t="shared" si="7"/>
        <v>1.3324450366422387</v>
      </c>
      <c r="AC38" s="118">
        <f t="shared" si="7"/>
        <v>1.3324450366422387</v>
      </c>
      <c r="AD38" s="118">
        <f t="shared" si="7"/>
        <v>1.3324450366422387</v>
      </c>
      <c r="AE38" s="118">
        <f t="shared" si="7"/>
        <v>1.3324450366422387</v>
      </c>
      <c r="AF38" s="118">
        <f t="shared" si="7"/>
        <v>1.3324450366422387</v>
      </c>
      <c r="AG38" s="118">
        <f t="shared" si="7"/>
        <v>1.3324450366422387</v>
      </c>
      <c r="AH38" s="118">
        <f t="shared" si="7"/>
        <v>1.3324450366422387</v>
      </c>
      <c r="AI38" s="118">
        <f t="shared" si="7"/>
        <v>1.3324450366422387</v>
      </c>
      <c r="AJ38" s="118">
        <f t="shared" si="7"/>
        <v>1.3324450366422387</v>
      </c>
      <c r="AK38" s="118">
        <f t="shared" si="7"/>
        <v>1.3324450366422387</v>
      </c>
      <c r="AL38" s="118">
        <f t="shared" si="7"/>
        <v>1.3324450366422387</v>
      </c>
    </row>
    <row r="39" spans="1:38" x14ac:dyDescent="0.25">
      <c r="C39" s="53">
        <f t="shared" ref="C39:AL39" si="8">+C37*C38</f>
        <v>0</v>
      </c>
      <c r="D39" s="53">
        <f t="shared" si="8"/>
        <v>0</v>
      </c>
      <c r="E39" s="53">
        <f t="shared" si="8"/>
        <v>-48511.337870278468</v>
      </c>
      <c r="F39" s="53">
        <f t="shared" si="8"/>
        <v>0</v>
      </c>
      <c r="G39" s="53">
        <f t="shared" si="8"/>
        <v>0</v>
      </c>
      <c r="H39" s="53">
        <f t="shared" si="8"/>
        <v>-48511.337870278468</v>
      </c>
      <c r="I39" s="53">
        <f t="shared" si="8"/>
        <v>0</v>
      </c>
      <c r="J39" s="53">
        <f t="shared" si="8"/>
        <v>0</v>
      </c>
      <c r="K39" s="53">
        <f t="shared" si="8"/>
        <v>-48511.337870278468</v>
      </c>
      <c r="L39" s="53">
        <f t="shared" si="8"/>
        <v>0</v>
      </c>
      <c r="M39" s="53">
        <f t="shared" si="8"/>
        <v>0</v>
      </c>
      <c r="N39" s="53">
        <f t="shared" si="8"/>
        <v>-48511.337870278468</v>
      </c>
      <c r="O39" s="54">
        <f t="shared" si="8"/>
        <v>0</v>
      </c>
      <c r="P39" s="53">
        <f t="shared" si="8"/>
        <v>0</v>
      </c>
      <c r="Q39" s="53">
        <f t="shared" si="8"/>
        <v>-48511.337870278468</v>
      </c>
      <c r="R39" s="53">
        <f t="shared" si="8"/>
        <v>0</v>
      </c>
      <c r="S39" s="53">
        <f t="shared" si="8"/>
        <v>0</v>
      </c>
      <c r="T39" s="53">
        <f t="shared" si="8"/>
        <v>-48511.337870278468</v>
      </c>
      <c r="U39" s="53">
        <f t="shared" si="8"/>
        <v>0</v>
      </c>
      <c r="V39" s="53">
        <f t="shared" si="8"/>
        <v>0</v>
      </c>
      <c r="W39" s="53">
        <f t="shared" si="8"/>
        <v>-48511.337870278468</v>
      </c>
      <c r="X39" s="53">
        <f t="shared" si="8"/>
        <v>0</v>
      </c>
      <c r="Y39" s="53">
        <f t="shared" si="8"/>
        <v>0</v>
      </c>
      <c r="Z39" s="53">
        <f t="shared" si="8"/>
        <v>-48511.337870278468</v>
      </c>
      <c r="AA39" s="54">
        <f t="shared" si="8"/>
        <v>0</v>
      </c>
      <c r="AB39" s="53">
        <f t="shared" si="8"/>
        <v>0</v>
      </c>
      <c r="AC39" s="53">
        <f t="shared" si="8"/>
        <v>-48511.337870278468</v>
      </c>
      <c r="AD39" s="53">
        <f t="shared" si="8"/>
        <v>0</v>
      </c>
      <c r="AE39" s="53">
        <f t="shared" si="8"/>
        <v>0</v>
      </c>
      <c r="AF39" s="53">
        <f t="shared" si="8"/>
        <v>-48511.337870278468</v>
      </c>
      <c r="AG39" s="53">
        <f t="shared" si="8"/>
        <v>0</v>
      </c>
      <c r="AH39" s="53">
        <f t="shared" si="8"/>
        <v>0</v>
      </c>
      <c r="AI39" s="53">
        <f t="shared" si="8"/>
        <v>-48511.337870278468</v>
      </c>
      <c r="AJ39" s="53">
        <f t="shared" si="8"/>
        <v>0</v>
      </c>
      <c r="AK39" s="53">
        <f t="shared" si="8"/>
        <v>0</v>
      </c>
      <c r="AL39" s="53">
        <f t="shared" si="8"/>
        <v>-48511.337870278468</v>
      </c>
    </row>
    <row r="40" spans="1:38" x14ac:dyDescent="0.25">
      <c r="N40" s="112">
        <f>SUM(I39:N39)-'Reg Asset and Liab'!C43</f>
        <v>0</v>
      </c>
      <c r="Z40" s="112">
        <f>SUM(O39:Z39)-'Reg Asset and Liab'!D43</f>
        <v>0</v>
      </c>
      <c r="AL40" s="112">
        <f>SUM(AA39:AL39)-'Reg Asset and Liab'!E43</f>
        <v>0</v>
      </c>
    </row>
    <row r="41" spans="1:38" x14ac:dyDescent="0.25">
      <c r="A41" s="90" t="s">
        <v>908</v>
      </c>
      <c r="C41" s="53"/>
      <c r="D41" s="53"/>
      <c r="E41" s="53">
        <v>-77884</v>
      </c>
      <c r="F41" s="53">
        <v>345455.42</v>
      </c>
      <c r="G41" s="53"/>
      <c r="H41" s="53">
        <v>269069.12485815602</v>
      </c>
      <c r="I41" s="53"/>
      <c r="J41" s="53"/>
      <c r="K41" s="53">
        <v>279855</v>
      </c>
      <c r="L41" s="53"/>
      <c r="M41" s="53"/>
      <c r="N41" s="53">
        <v>272165</v>
      </c>
      <c r="O41" s="54"/>
      <c r="P41" s="53"/>
      <c r="Q41" s="53">
        <v>244347</v>
      </c>
      <c r="R41" s="53"/>
      <c r="S41" s="53"/>
      <c r="T41" s="53">
        <v>258390</v>
      </c>
      <c r="U41" s="53"/>
      <c r="V41" s="53"/>
      <c r="W41" s="53">
        <v>265412</v>
      </c>
      <c r="X41" s="53"/>
      <c r="Y41" s="53"/>
      <c r="Z41" s="53">
        <f>+W41</f>
        <v>265412</v>
      </c>
      <c r="AA41" s="54"/>
      <c r="AB41" s="53"/>
      <c r="AC41" s="53">
        <f>+'Reg Asset and Liab'!E45/4</f>
        <v>257235.50851063829</v>
      </c>
      <c r="AD41" s="53"/>
      <c r="AE41" s="53"/>
      <c r="AF41" s="53">
        <f>+AC41</f>
        <v>257235.50851063829</v>
      </c>
      <c r="AG41" s="53"/>
      <c r="AH41" s="53"/>
      <c r="AI41" s="53">
        <f>+AF41</f>
        <v>257235.50851063829</v>
      </c>
      <c r="AJ41" s="53"/>
      <c r="AK41" s="53"/>
      <c r="AL41" s="53">
        <f>+AI41</f>
        <v>257235.50851063829</v>
      </c>
    </row>
    <row r="42" spans="1:38" x14ac:dyDescent="0.25">
      <c r="A42" s="90" t="s">
        <v>486</v>
      </c>
      <c r="C42" s="118">
        <f t="shared" ref="C42:AL42" si="9">+$J$13</f>
        <v>1.3324450366422387</v>
      </c>
      <c r="D42" s="118">
        <f t="shared" si="9"/>
        <v>1.3324450366422387</v>
      </c>
      <c r="E42" s="118">
        <f t="shared" si="9"/>
        <v>1.3324450366422387</v>
      </c>
      <c r="F42" s="118">
        <f t="shared" si="9"/>
        <v>1.3324450366422387</v>
      </c>
      <c r="G42" s="118">
        <f t="shared" si="9"/>
        <v>1.3324450366422387</v>
      </c>
      <c r="H42" s="118">
        <f t="shared" si="9"/>
        <v>1.3324450366422387</v>
      </c>
      <c r="I42" s="118">
        <f t="shared" si="9"/>
        <v>1.3324450366422387</v>
      </c>
      <c r="J42" s="118">
        <f t="shared" si="9"/>
        <v>1.3324450366422387</v>
      </c>
      <c r="K42" s="118">
        <f t="shared" si="9"/>
        <v>1.3324450366422387</v>
      </c>
      <c r="L42" s="118">
        <f t="shared" si="9"/>
        <v>1.3324450366422387</v>
      </c>
      <c r="M42" s="118">
        <f t="shared" si="9"/>
        <v>1.3324450366422387</v>
      </c>
      <c r="N42" s="118">
        <f t="shared" si="9"/>
        <v>1.3324450366422387</v>
      </c>
      <c r="O42" s="138">
        <f t="shared" si="9"/>
        <v>1.3324450366422387</v>
      </c>
      <c r="P42" s="118">
        <f t="shared" si="9"/>
        <v>1.3324450366422387</v>
      </c>
      <c r="Q42" s="118">
        <f t="shared" si="9"/>
        <v>1.3324450366422387</v>
      </c>
      <c r="R42" s="118">
        <f t="shared" si="9"/>
        <v>1.3324450366422387</v>
      </c>
      <c r="S42" s="118">
        <f t="shared" si="9"/>
        <v>1.3324450366422387</v>
      </c>
      <c r="T42" s="118">
        <f t="shared" si="9"/>
        <v>1.3324450366422387</v>
      </c>
      <c r="U42" s="118">
        <f t="shared" si="9"/>
        <v>1.3324450366422387</v>
      </c>
      <c r="V42" s="118">
        <f t="shared" si="9"/>
        <v>1.3324450366422387</v>
      </c>
      <c r="W42" s="118">
        <f t="shared" si="9"/>
        <v>1.3324450366422387</v>
      </c>
      <c r="X42" s="118">
        <f t="shared" si="9"/>
        <v>1.3324450366422387</v>
      </c>
      <c r="Y42" s="118">
        <f t="shared" si="9"/>
        <v>1.3324450366422387</v>
      </c>
      <c r="Z42" s="118">
        <f t="shared" si="9"/>
        <v>1.3324450366422387</v>
      </c>
      <c r="AA42" s="138">
        <f t="shared" si="9"/>
        <v>1.3324450366422387</v>
      </c>
      <c r="AB42" s="118">
        <f t="shared" si="9"/>
        <v>1.3324450366422387</v>
      </c>
      <c r="AC42" s="118">
        <f t="shared" si="9"/>
        <v>1.3324450366422387</v>
      </c>
      <c r="AD42" s="118">
        <f t="shared" si="9"/>
        <v>1.3324450366422387</v>
      </c>
      <c r="AE42" s="118">
        <f t="shared" si="9"/>
        <v>1.3324450366422387</v>
      </c>
      <c r="AF42" s="118">
        <f t="shared" si="9"/>
        <v>1.3324450366422387</v>
      </c>
      <c r="AG42" s="118">
        <f t="shared" si="9"/>
        <v>1.3324450366422387</v>
      </c>
      <c r="AH42" s="118">
        <f t="shared" si="9"/>
        <v>1.3324450366422387</v>
      </c>
      <c r="AI42" s="118">
        <f t="shared" si="9"/>
        <v>1.3324450366422387</v>
      </c>
      <c r="AJ42" s="118">
        <f t="shared" si="9"/>
        <v>1.3324450366422387</v>
      </c>
      <c r="AK42" s="118">
        <f t="shared" si="9"/>
        <v>1.3324450366422387</v>
      </c>
      <c r="AL42" s="118">
        <f t="shared" si="9"/>
        <v>1.3324450366422387</v>
      </c>
    </row>
    <row r="43" spans="1:38" x14ac:dyDescent="0.25">
      <c r="C43" s="53">
        <f t="shared" ref="C43:AL43" si="10">+C41*C42</f>
        <v>0</v>
      </c>
      <c r="D43" s="53">
        <f t="shared" si="10"/>
        <v>0</v>
      </c>
      <c r="E43" s="53">
        <f t="shared" si="10"/>
        <v>-103776.14923384412</v>
      </c>
      <c r="F43" s="53">
        <f t="shared" si="10"/>
        <v>460300.35976015992</v>
      </c>
      <c r="G43" s="53">
        <f t="shared" si="10"/>
        <v>0</v>
      </c>
      <c r="H43" s="53">
        <f t="shared" si="10"/>
        <v>358519.81993092078</v>
      </c>
      <c r="I43" s="53">
        <f t="shared" si="10"/>
        <v>0</v>
      </c>
      <c r="J43" s="53">
        <f t="shared" si="10"/>
        <v>0</v>
      </c>
      <c r="K43" s="53">
        <f t="shared" si="10"/>
        <v>372891.40572951373</v>
      </c>
      <c r="L43" s="53">
        <f t="shared" si="10"/>
        <v>0</v>
      </c>
      <c r="M43" s="53">
        <f t="shared" si="10"/>
        <v>0</v>
      </c>
      <c r="N43" s="53">
        <f t="shared" si="10"/>
        <v>362644.90339773492</v>
      </c>
      <c r="O43" s="54">
        <f t="shared" si="10"/>
        <v>0</v>
      </c>
      <c r="P43" s="53">
        <f t="shared" si="10"/>
        <v>0</v>
      </c>
      <c r="Q43" s="53">
        <f t="shared" si="10"/>
        <v>325578.94736842107</v>
      </c>
      <c r="R43" s="53">
        <f t="shared" si="10"/>
        <v>0</v>
      </c>
      <c r="S43" s="53">
        <f t="shared" si="10"/>
        <v>0</v>
      </c>
      <c r="T43" s="53">
        <f t="shared" si="10"/>
        <v>344290.47301798803</v>
      </c>
      <c r="U43" s="53">
        <f t="shared" si="10"/>
        <v>0</v>
      </c>
      <c r="V43" s="53">
        <f t="shared" si="10"/>
        <v>0</v>
      </c>
      <c r="W43" s="53">
        <f t="shared" si="10"/>
        <v>353646.90206528985</v>
      </c>
      <c r="X43" s="53">
        <f t="shared" si="10"/>
        <v>0</v>
      </c>
      <c r="Y43" s="53">
        <f t="shared" si="10"/>
        <v>0</v>
      </c>
      <c r="Z43" s="53">
        <f t="shared" si="10"/>
        <v>353646.90206528985</v>
      </c>
      <c r="AA43" s="54">
        <f t="shared" si="10"/>
        <v>0</v>
      </c>
      <c r="AB43" s="53">
        <f t="shared" si="10"/>
        <v>0</v>
      </c>
      <c r="AC43" s="53">
        <f t="shared" si="10"/>
        <v>342752.17656314233</v>
      </c>
      <c r="AD43" s="53">
        <f t="shared" si="10"/>
        <v>0</v>
      </c>
      <c r="AE43" s="53">
        <f t="shared" si="10"/>
        <v>0</v>
      </c>
      <c r="AF43" s="53">
        <f t="shared" si="10"/>
        <v>342752.17656314233</v>
      </c>
      <c r="AG43" s="53">
        <f t="shared" si="10"/>
        <v>0</v>
      </c>
      <c r="AH43" s="53">
        <f t="shared" si="10"/>
        <v>0</v>
      </c>
      <c r="AI43" s="53">
        <f t="shared" si="10"/>
        <v>342752.17656314233</v>
      </c>
      <c r="AJ43" s="53">
        <f t="shared" si="10"/>
        <v>0</v>
      </c>
      <c r="AK43" s="53">
        <f t="shared" si="10"/>
        <v>0</v>
      </c>
      <c r="AL43" s="53">
        <f t="shared" si="10"/>
        <v>342752.17656314233</v>
      </c>
    </row>
    <row r="44" spans="1:38" x14ac:dyDescent="0.25">
      <c r="N44" s="112">
        <f>SUM(I43:N43)-'Reg Asset and Liab'!C47</f>
        <v>0</v>
      </c>
      <c r="Z44" s="112">
        <f>SUM(O43:Z43)-'Reg Asset and Liab'!D47</f>
        <v>0.62574516911990941</v>
      </c>
      <c r="AL44" s="112">
        <f>SUM(AA43:AL43)-'Reg Asset and Liab'!E47</f>
        <v>0</v>
      </c>
    </row>
    <row r="45" spans="1:38" x14ac:dyDescent="0.25">
      <c r="A45" s="90" t="s">
        <v>494</v>
      </c>
      <c r="C45" s="53">
        <f t="shared" ref="C45:AL45" si="11">+C31+C35+C39+C43</f>
        <v>0</v>
      </c>
      <c r="D45" s="53">
        <f t="shared" si="11"/>
        <v>0</v>
      </c>
      <c r="E45" s="53">
        <f t="shared" si="11"/>
        <v>2575665.8166304659</v>
      </c>
      <c r="F45" s="53">
        <f t="shared" si="11"/>
        <v>460300.35976015992</v>
      </c>
      <c r="G45" s="53">
        <f t="shared" si="11"/>
        <v>0</v>
      </c>
      <c r="H45" s="53">
        <f t="shared" si="11"/>
        <v>3219994.3009836455</v>
      </c>
      <c r="I45" s="53">
        <f t="shared" si="11"/>
        <v>0</v>
      </c>
      <c r="J45" s="53">
        <f t="shared" si="11"/>
        <v>0</v>
      </c>
      <c r="K45" s="53">
        <f t="shared" si="11"/>
        <v>2208937.6866852231</v>
      </c>
      <c r="L45" s="53">
        <f t="shared" si="11"/>
        <v>0</v>
      </c>
      <c r="M45" s="53">
        <f t="shared" si="11"/>
        <v>0</v>
      </c>
      <c r="N45" s="53">
        <f t="shared" si="11"/>
        <v>2821632.4793553161</v>
      </c>
      <c r="O45" s="54">
        <f t="shared" si="11"/>
        <v>0</v>
      </c>
      <c r="P45" s="53">
        <f t="shared" si="11"/>
        <v>0</v>
      </c>
      <c r="Q45" s="53">
        <f t="shared" si="11"/>
        <v>3727610.009668442</v>
      </c>
      <c r="R45" s="53">
        <f t="shared" si="11"/>
        <v>1121587.4603042421</v>
      </c>
      <c r="S45" s="53">
        <f t="shared" si="11"/>
        <v>0</v>
      </c>
      <c r="T45" s="53">
        <f t="shared" si="11"/>
        <v>2624734.075013767</v>
      </c>
      <c r="U45" s="53">
        <f t="shared" si="11"/>
        <v>0</v>
      </c>
      <c r="V45" s="53">
        <f t="shared" si="11"/>
        <v>0</v>
      </c>
      <c r="W45" s="53">
        <f t="shared" si="11"/>
        <v>3755677.9643653105</v>
      </c>
      <c r="X45" s="53">
        <f t="shared" si="11"/>
        <v>0</v>
      </c>
      <c r="Y45" s="53">
        <f t="shared" si="11"/>
        <v>0</v>
      </c>
      <c r="Z45" s="53">
        <f t="shared" si="11"/>
        <v>3755677.9643653105</v>
      </c>
      <c r="AA45" s="54">
        <f t="shared" si="11"/>
        <v>0</v>
      </c>
      <c r="AB45" s="53">
        <f t="shared" si="11"/>
        <v>0</v>
      </c>
      <c r="AC45" s="53">
        <f t="shared" si="11"/>
        <v>3984121.9978571669</v>
      </c>
      <c r="AD45" s="53">
        <f t="shared" si="11"/>
        <v>1203306.5863868536</v>
      </c>
      <c r="AE45" s="53">
        <f t="shared" si="11"/>
        <v>0</v>
      </c>
      <c r="AF45" s="53">
        <f t="shared" si="11"/>
        <v>2780815.4114703131</v>
      </c>
      <c r="AG45" s="53">
        <f t="shared" si="11"/>
        <v>0</v>
      </c>
      <c r="AH45" s="53">
        <f t="shared" si="11"/>
        <v>0</v>
      </c>
      <c r="AI45" s="53">
        <f t="shared" si="11"/>
        <v>3984121.9978571669</v>
      </c>
      <c r="AJ45" s="53">
        <f t="shared" si="11"/>
        <v>0</v>
      </c>
      <c r="AK45" s="53">
        <f t="shared" si="11"/>
        <v>0</v>
      </c>
      <c r="AL45" s="53">
        <f t="shared" si="11"/>
        <v>3984121.9978571669</v>
      </c>
    </row>
    <row r="46" spans="1:38" x14ac:dyDescent="0.2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x14ac:dyDescent="0.25">
      <c r="A47" s="90" t="s">
        <v>909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x14ac:dyDescent="0.25">
      <c r="A48" s="90" t="s">
        <v>910</v>
      </c>
      <c r="D48" s="53"/>
      <c r="E48" s="53"/>
      <c r="F48" s="53"/>
      <c r="G48" s="53"/>
      <c r="H48" s="53"/>
      <c r="I48" s="53"/>
      <c r="J48" s="53"/>
      <c r="K48" s="53">
        <f>'Reg Asset and Liab'!C52</f>
        <v>-15492021.529999971</v>
      </c>
      <c r="L48" s="53"/>
      <c r="M48" s="53"/>
      <c r="N48" s="53"/>
      <c r="O48" s="54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x14ac:dyDescent="0.25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x14ac:dyDescent="0.25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x14ac:dyDescent="0.25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3" spans="1:38" ht="13.8" thickBot="1" x14ac:dyDescent="0.3">
      <c r="A53" s="90" t="s">
        <v>495</v>
      </c>
      <c r="C53" s="121">
        <f>SUM(C45:C52)</f>
        <v>0</v>
      </c>
      <c r="D53" s="121">
        <f t="shared" ref="D53:AL53" si="12">SUM(D45:D52)</f>
        <v>0</v>
      </c>
      <c r="E53" s="121">
        <f t="shared" si="12"/>
        <v>2575665.8166304659</v>
      </c>
      <c r="F53" s="121">
        <f t="shared" si="12"/>
        <v>460300.35976015992</v>
      </c>
      <c r="G53" s="121">
        <f t="shared" si="12"/>
        <v>0</v>
      </c>
      <c r="H53" s="121">
        <f t="shared" si="12"/>
        <v>3219994.3009836455</v>
      </c>
      <c r="I53" s="121">
        <f t="shared" si="12"/>
        <v>0</v>
      </c>
      <c r="J53" s="121">
        <f t="shared" si="12"/>
        <v>0</v>
      </c>
      <c r="K53" s="121">
        <f t="shared" si="12"/>
        <v>-13283083.843314748</v>
      </c>
      <c r="L53" s="121">
        <f t="shared" si="12"/>
        <v>0</v>
      </c>
      <c r="M53" s="121">
        <f t="shared" si="12"/>
        <v>0</v>
      </c>
      <c r="N53" s="121">
        <f t="shared" si="12"/>
        <v>2821632.4793553161</v>
      </c>
      <c r="O53" s="139">
        <f t="shared" si="12"/>
        <v>0</v>
      </c>
      <c r="P53" s="121">
        <f t="shared" si="12"/>
        <v>0</v>
      </c>
      <c r="Q53" s="121">
        <f t="shared" si="12"/>
        <v>3727610.009668442</v>
      </c>
      <c r="R53" s="121">
        <f t="shared" si="12"/>
        <v>1121587.4603042421</v>
      </c>
      <c r="S53" s="121">
        <f t="shared" si="12"/>
        <v>0</v>
      </c>
      <c r="T53" s="121">
        <f t="shared" si="12"/>
        <v>2624734.075013767</v>
      </c>
      <c r="U53" s="121">
        <f t="shared" si="12"/>
        <v>0</v>
      </c>
      <c r="V53" s="121">
        <f t="shared" si="12"/>
        <v>0</v>
      </c>
      <c r="W53" s="121">
        <f t="shared" si="12"/>
        <v>3755677.9643653105</v>
      </c>
      <c r="X53" s="121">
        <f t="shared" si="12"/>
        <v>0</v>
      </c>
      <c r="Y53" s="121">
        <f t="shared" si="12"/>
        <v>0</v>
      </c>
      <c r="Z53" s="121">
        <f t="shared" si="12"/>
        <v>3755677.9643653105</v>
      </c>
      <c r="AA53" s="139">
        <f t="shared" si="12"/>
        <v>0</v>
      </c>
      <c r="AB53" s="121">
        <f t="shared" si="12"/>
        <v>0</v>
      </c>
      <c r="AC53" s="121">
        <f t="shared" si="12"/>
        <v>3984121.9978571669</v>
      </c>
      <c r="AD53" s="121">
        <f t="shared" si="12"/>
        <v>1203306.5863868536</v>
      </c>
      <c r="AE53" s="121">
        <f t="shared" si="12"/>
        <v>0</v>
      </c>
      <c r="AF53" s="121">
        <f t="shared" si="12"/>
        <v>2780815.4114703131</v>
      </c>
      <c r="AG53" s="121">
        <f t="shared" si="12"/>
        <v>0</v>
      </c>
      <c r="AH53" s="121">
        <f t="shared" si="12"/>
        <v>0</v>
      </c>
      <c r="AI53" s="121">
        <f t="shared" si="12"/>
        <v>3984121.9978571669</v>
      </c>
      <c r="AJ53" s="121">
        <f t="shared" si="12"/>
        <v>0</v>
      </c>
      <c r="AK53" s="121">
        <f t="shared" si="12"/>
        <v>0</v>
      </c>
      <c r="AL53" s="121">
        <f t="shared" si="12"/>
        <v>3984121.9978571669</v>
      </c>
    </row>
    <row r="54" spans="1:38" ht="13.8" thickTop="1" x14ac:dyDescent="0.25">
      <c r="H54" s="140">
        <f>-9350977+15492023-SUM(C53:H53)+114916</f>
        <v>1.5226257285103202</v>
      </c>
    </row>
    <row r="56" spans="1:38" x14ac:dyDescent="0.25">
      <c r="A56" s="90" t="s">
        <v>928</v>
      </c>
      <c r="C56" s="53">
        <f>+C33+C41-SUM(C57:C58)</f>
        <v>0</v>
      </c>
      <c r="D56" s="53">
        <f t="shared" ref="D56:Z56" si="13">+D33+D41-SUM(D57:D58)</f>
        <v>0</v>
      </c>
      <c r="E56" s="53">
        <v>1787416.17</v>
      </c>
      <c r="F56" s="53">
        <v>345455.42</v>
      </c>
      <c r="G56" s="53">
        <v>0</v>
      </c>
      <c r="H56" s="53">
        <f t="shared" si="13"/>
        <v>2163058.0575070609</v>
      </c>
      <c r="I56" s="53">
        <f t="shared" si="13"/>
        <v>0</v>
      </c>
      <c r="J56" s="53">
        <f t="shared" si="13"/>
        <v>0</v>
      </c>
      <c r="K56" s="53">
        <f>+K33+K41-SUM(K57:K58)</f>
        <v>1423936.0123510947</v>
      </c>
      <c r="L56" s="53">
        <f t="shared" si="13"/>
        <v>0</v>
      </c>
      <c r="M56" s="53">
        <f t="shared" si="13"/>
        <v>0</v>
      </c>
      <c r="N56" s="53">
        <f>+N33+N41-SUM(N57:N58)</f>
        <v>1906621.7050000001</v>
      </c>
      <c r="O56" s="54">
        <f t="shared" si="13"/>
        <v>0</v>
      </c>
      <c r="P56" s="53">
        <f t="shared" si="13"/>
        <v>0</v>
      </c>
      <c r="Q56" s="53">
        <f t="shared" si="13"/>
        <v>2539191.174875001</v>
      </c>
      <c r="R56" s="53">
        <f t="shared" si="13"/>
        <v>841751.38895833364</v>
      </c>
      <c r="S56" s="53">
        <f t="shared" si="13"/>
        <v>0</v>
      </c>
      <c r="T56" s="53">
        <f t="shared" si="13"/>
        <v>1711482.7859166674</v>
      </c>
      <c r="U56" s="53">
        <f t="shared" si="13"/>
        <v>0</v>
      </c>
      <c r="V56" s="53">
        <f t="shared" si="13"/>
        <v>0</v>
      </c>
      <c r="W56" s="53">
        <f t="shared" si="13"/>
        <v>2560256.174875001</v>
      </c>
      <c r="X56" s="53">
        <f t="shared" si="13"/>
        <v>0</v>
      </c>
      <c r="Y56" s="53">
        <f t="shared" si="13"/>
        <v>0</v>
      </c>
      <c r="Z56" s="53">
        <f t="shared" si="13"/>
        <v>2560256.174875001</v>
      </c>
      <c r="AA56" s="54">
        <f t="shared" ref="AA56:AL56" si="14">+AA33+AA41-SUM(AA57:AA58)</f>
        <v>0</v>
      </c>
      <c r="AB56" s="53">
        <f t="shared" si="14"/>
        <v>0</v>
      </c>
      <c r="AC56" s="53">
        <f t="shared" si="14"/>
        <v>2748648.0835106391</v>
      </c>
      <c r="AD56" s="53">
        <f t="shared" si="14"/>
        <v>903081.59308333357</v>
      </c>
      <c r="AE56" s="53">
        <f t="shared" si="14"/>
        <v>0</v>
      </c>
      <c r="AF56" s="53">
        <f t="shared" si="14"/>
        <v>1845566.490427305</v>
      </c>
      <c r="AG56" s="53">
        <f t="shared" si="14"/>
        <v>0</v>
      </c>
      <c r="AH56" s="53">
        <f t="shared" si="14"/>
        <v>0</v>
      </c>
      <c r="AI56" s="53">
        <f t="shared" si="14"/>
        <v>2748648.0835106391</v>
      </c>
      <c r="AJ56" s="53">
        <f t="shared" si="14"/>
        <v>0</v>
      </c>
      <c r="AK56" s="53">
        <f t="shared" si="14"/>
        <v>0</v>
      </c>
      <c r="AL56" s="53">
        <f t="shared" si="14"/>
        <v>2748648.0835106391</v>
      </c>
    </row>
    <row r="57" spans="1:38" x14ac:dyDescent="0.25">
      <c r="A57" s="90" t="s">
        <v>929</v>
      </c>
      <c r="C57" s="53">
        <f>-C58*0.21</f>
        <v>0</v>
      </c>
      <c r="D57" s="53">
        <f t="shared" ref="D57:AL57" si="15">-D58*0.21</f>
        <v>0</v>
      </c>
      <c r="E57" s="53">
        <v>-29689.17</v>
      </c>
      <c r="F57" s="53">
        <v>0</v>
      </c>
      <c r="G57" s="53">
        <v>0</v>
      </c>
      <c r="H57" s="53">
        <f t="shared" si="15"/>
        <v>-58378.53</v>
      </c>
      <c r="I57" s="53">
        <f t="shared" si="15"/>
        <v>0</v>
      </c>
      <c r="J57" s="53">
        <f t="shared" si="15"/>
        <v>0</v>
      </c>
      <c r="K57" s="53">
        <f t="shared" si="15"/>
        <v>-53148.215805379921</v>
      </c>
      <c r="L57" s="53">
        <f t="shared" si="15"/>
        <v>0</v>
      </c>
      <c r="M57" s="53">
        <f t="shared" si="15"/>
        <v>0</v>
      </c>
      <c r="N57" s="53">
        <f t="shared" si="15"/>
        <v>-47071.971935126639</v>
      </c>
      <c r="O57" s="54">
        <f t="shared" si="15"/>
        <v>0</v>
      </c>
      <c r="P57" s="53">
        <f t="shared" si="15"/>
        <v>0</v>
      </c>
      <c r="Q57" s="53">
        <f t="shared" si="15"/>
        <v>-61248.225721518975</v>
      </c>
      <c r="R57" s="53">
        <f t="shared" si="15"/>
        <v>0</v>
      </c>
      <c r="S57" s="53">
        <f t="shared" si="15"/>
        <v>0</v>
      </c>
      <c r="T57" s="53">
        <f t="shared" si="15"/>
        <v>-61248.225721518975</v>
      </c>
      <c r="U57" s="53">
        <f t="shared" si="15"/>
        <v>0</v>
      </c>
      <c r="V57" s="53">
        <f t="shared" si="15"/>
        <v>0</v>
      </c>
      <c r="W57" s="53">
        <f t="shared" si="15"/>
        <v>-61248.225721518975</v>
      </c>
      <c r="X57" s="53">
        <f t="shared" si="15"/>
        <v>0</v>
      </c>
      <c r="Y57" s="53">
        <f t="shared" si="15"/>
        <v>0</v>
      </c>
      <c r="Z57" s="53">
        <f t="shared" si="15"/>
        <v>-61248.225721518975</v>
      </c>
      <c r="AA57" s="54">
        <f t="shared" si="15"/>
        <v>0</v>
      </c>
      <c r="AB57" s="53">
        <f t="shared" si="15"/>
        <v>0</v>
      </c>
      <c r="AC57" s="53">
        <f t="shared" si="15"/>
        <v>-57904.763155063338</v>
      </c>
      <c r="AD57" s="53">
        <f t="shared" si="15"/>
        <v>0</v>
      </c>
      <c r="AE57" s="53">
        <f t="shared" si="15"/>
        <v>0</v>
      </c>
      <c r="AF57" s="53">
        <f t="shared" si="15"/>
        <v>-57904.763155063338</v>
      </c>
      <c r="AG57" s="53">
        <f t="shared" si="15"/>
        <v>0</v>
      </c>
      <c r="AH57" s="53">
        <f t="shared" si="15"/>
        <v>0</v>
      </c>
      <c r="AI57" s="53">
        <f t="shared" si="15"/>
        <v>-57904.763155063338</v>
      </c>
      <c r="AJ57" s="53">
        <f t="shared" si="15"/>
        <v>0</v>
      </c>
      <c r="AK57" s="53">
        <f t="shared" si="15"/>
        <v>0</v>
      </c>
      <c r="AL57" s="53">
        <f t="shared" si="15"/>
        <v>-57904.763155063338</v>
      </c>
    </row>
    <row r="58" spans="1:38" x14ac:dyDescent="0.25">
      <c r="A58" s="90" t="s">
        <v>930</v>
      </c>
      <c r="C58" s="53"/>
      <c r="D58" s="53"/>
      <c r="E58" s="53">
        <v>141377</v>
      </c>
      <c r="F58" s="53"/>
      <c r="G58" s="53"/>
      <c r="H58" s="53">
        <v>277993</v>
      </c>
      <c r="I58" s="53"/>
      <c r="J58" s="53"/>
      <c r="K58" s="53">
        <f>+'Reg Asset and Liab'!C77*0.75-SUM(C58:J58)</f>
        <v>253086.74193038058</v>
      </c>
      <c r="L58" s="53"/>
      <c r="M58" s="53"/>
      <c r="N58" s="53">
        <f>+'Reg Asset and Liab'!C77/4</f>
        <v>224152.24731012687</v>
      </c>
      <c r="O58" s="54"/>
      <c r="P58" s="53"/>
      <c r="Q58" s="53">
        <f>+'Reg Asset and Liab'!D77/4</f>
        <v>291658.21772151894</v>
      </c>
      <c r="R58" s="53"/>
      <c r="S58" s="53"/>
      <c r="T58" s="53">
        <f>+Q58</f>
        <v>291658.21772151894</v>
      </c>
      <c r="U58" s="53"/>
      <c r="V58" s="53"/>
      <c r="W58" s="53">
        <f>+T58</f>
        <v>291658.21772151894</v>
      </c>
      <c r="X58" s="53"/>
      <c r="Y58" s="53"/>
      <c r="Z58" s="53">
        <f>+W58</f>
        <v>291658.21772151894</v>
      </c>
      <c r="AA58" s="54"/>
      <c r="AB58" s="53"/>
      <c r="AC58" s="53">
        <f>+'Reg Asset and Liab'!E77/4</f>
        <v>275736.96740506351</v>
      </c>
      <c r="AD58" s="53"/>
      <c r="AE58" s="53"/>
      <c r="AF58" s="53">
        <f>+AC58</f>
        <v>275736.96740506351</v>
      </c>
      <c r="AG58" s="53"/>
      <c r="AH58" s="53"/>
      <c r="AI58" s="53">
        <f>+AF58</f>
        <v>275736.96740506351</v>
      </c>
      <c r="AJ58" s="53"/>
      <c r="AK58" s="53"/>
      <c r="AL58" s="53">
        <f>+AI58</f>
        <v>275736.96740506351</v>
      </c>
    </row>
    <row r="59" spans="1:38" ht="13.8" thickBot="1" x14ac:dyDescent="0.3">
      <c r="A59" s="90" t="s">
        <v>931</v>
      </c>
      <c r="C59" s="126">
        <f>SUM(C56:C58)</f>
        <v>0</v>
      </c>
      <c r="D59" s="126">
        <f t="shared" ref="D59:AL59" si="16">SUM(D56:D58)</f>
        <v>0</v>
      </c>
      <c r="E59" s="126">
        <f t="shared" si="16"/>
        <v>1899104</v>
      </c>
      <c r="F59" s="126">
        <f t="shared" si="16"/>
        <v>345455.42</v>
      </c>
      <c r="G59" s="126">
        <f t="shared" si="16"/>
        <v>0</v>
      </c>
      <c r="H59" s="126">
        <f t="shared" si="16"/>
        <v>2382672.5275070611</v>
      </c>
      <c r="I59" s="126">
        <f t="shared" si="16"/>
        <v>0</v>
      </c>
      <c r="J59" s="126">
        <f t="shared" si="16"/>
        <v>0</v>
      </c>
      <c r="K59" s="126">
        <f>SUM(K56:K58)</f>
        <v>1623874.5384760955</v>
      </c>
      <c r="L59" s="126">
        <f t="shared" si="16"/>
        <v>0</v>
      </c>
      <c r="M59" s="126">
        <f t="shared" si="16"/>
        <v>0</v>
      </c>
      <c r="N59" s="126">
        <f t="shared" si="16"/>
        <v>2083701.9803750003</v>
      </c>
      <c r="O59" s="141">
        <f t="shared" si="16"/>
        <v>0</v>
      </c>
      <c r="P59" s="126">
        <f t="shared" si="16"/>
        <v>0</v>
      </c>
      <c r="Q59" s="126">
        <f t="shared" si="16"/>
        <v>2769601.166875001</v>
      </c>
      <c r="R59" s="126">
        <f t="shared" si="16"/>
        <v>841751.38895833364</v>
      </c>
      <c r="S59" s="126">
        <f t="shared" si="16"/>
        <v>0</v>
      </c>
      <c r="T59" s="126">
        <f t="shared" si="16"/>
        <v>1941892.7779166675</v>
      </c>
      <c r="U59" s="126">
        <f t="shared" si="16"/>
        <v>0</v>
      </c>
      <c r="V59" s="126">
        <f t="shared" si="16"/>
        <v>0</v>
      </c>
      <c r="W59" s="126">
        <f t="shared" si="16"/>
        <v>2790666.166875001</v>
      </c>
      <c r="X59" s="126">
        <f t="shared" si="16"/>
        <v>0</v>
      </c>
      <c r="Y59" s="126">
        <f t="shared" si="16"/>
        <v>0</v>
      </c>
      <c r="Z59" s="126">
        <f t="shared" si="16"/>
        <v>2790666.166875001</v>
      </c>
      <c r="AA59" s="141">
        <f t="shared" si="16"/>
        <v>0</v>
      </c>
      <c r="AB59" s="126">
        <f t="shared" si="16"/>
        <v>0</v>
      </c>
      <c r="AC59" s="126">
        <f t="shared" si="16"/>
        <v>2966480.2877606396</v>
      </c>
      <c r="AD59" s="126">
        <f t="shared" si="16"/>
        <v>903081.59308333357</v>
      </c>
      <c r="AE59" s="126">
        <f t="shared" si="16"/>
        <v>0</v>
      </c>
      <c r="AF59" s="126">
        <f t="shared" si="16"/>
        <v>2063398.6946773052</v>
      </c>
      <c r="AG59" s="126">
        <f t="shared" si="16"/>
        <v>0</v>
      </c>
      <c r="AH59" s="126">
        <f t="shared" si="16"/>
        <v>0</v>
      </c>
      <c r="AI59" s="126">
        <f t="shared" si="16"/>
        <v>2966480.2877606396</v>
      </c>
      <c r="AJ59" s="126">
        <f t="shared" si="16"/>
        <v>0</v>
      </c>
      <c r="AK59" s="126">
        <f t="shared" si="16"/>
        <v>0</v>
      </c>
      <c r="AL59" s="126">
        <f t="shared" si="16"/>
        <v>2966480.2877606396</v>
      </c>
    </row>
    <row r="60" spans="1:38" x14ac:dyDescent="0.25">
      <c r="C60" s="84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>
        <f>SUM(C58:N58)-'Reg Asset and Liab'!C77</f>
        <v>0</v>
      </c>
      <c r="O60" s="142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>
        <f>SUM(O58:Z58)-'Reg Asset and Liab'!D77</f>
        <v>0</v>
      </c>
      <c r="AA60" s="142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>
        <f>SUM(AA58:AL58)-'Reg Asset and Liab'!E77</f>
        <v>0</v>
      </c>
    </row>
    <row r="61" spans="1:38" x14ac:dyDescent="0.25">
      <c r="N61" s="108"/>
      <c r="Z61" s="108"/>
      <c r="AL61" s="10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80" zoomScaleNormal="80" workbookViewId="0">
      <pane xSplit="1" ySplit="4" topLeftCell="B5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09375" defaultRowHeight="14.4" x14ac:dyDescent="0.3"/>
  <cols>
    <col min="1" max="1" width="46" style="10" customWidth="1"/>
    <col min="2" max="3" width="12" style="10" customWidth="1"/>
    <col min="4" max="4" width="2.109375" style="10" customWidth="1"/>
    <col min="5" max="6" width="12" style="10" customWidth="1"/>
    <col min="7" max="7" width="2.109375" style="10" customWidth="1"/>
    <col min="8" max="9" width="12" style="10" customWidth="1"/>
    <col min="10" max="10" width="4" style="10" customWidth="1"/>
    <col min="11" max="11" width="43.33203125" style="10" customWidth="1"/>
    <col min="12" max="16384" width="9.109375" style="10"/>
  </cols>
  <sheetData>
    <row r="1" spans="1:11" x14ac:dyDescent="0.3">
      <c r="A1" s="47" t="s">
        <v>497</v>
      </c>
    </row>
    <row r="2" spans="1:11" x14ac:dyDescent="0.3">
      <c r="A2" s="10" t="s">
        <v>498</v>
      </c>
    </row>
    <row r="3" spans="1:11" ht="16.2" x14ac:dyDescent="0.45">
      <c r="B3" s="157" t="s">
        <v>276</v>
      </c>
      <c r="C3" s="157"/>
      <c r="D3" s="55"/>
      <c r="E3" s="157" t="s">
        <v>277</v>
      </c>
      <c r="F3" s="157"/>
      <c r="G3" s="55"/>
      <c r="H3" s="157" t="s">
        <v>278</v>
      </c>
      <c r="I3" s="157"/>
    </row>
    <row r="4" spans="1:11" ht="16.2" x14ac:dyDescent="0.45">
      <c r="B4" s="36" t="s">
        <v>107</v>
      </c>
      <c r="C4" s="36" t="s">
        <v>109</v>
      </c>
      <c r="D4" s="36"/>
      <c r="E4" s="36" t="s">
        <v>107</v>
      </c>
      <c r="F4" s="36" t="s">
        <v>109</v>
      </c>
      <c r="G4" s="36"/>
      <c r="H4" s="36" t="s">
        <v>107</v>
      </c>
      <c r="I4" s="36" t="s">
        <v>109</v>
      </c>
      <c r="K4" s="37" t="s">
        <v>499</v>
      </c>
    </row>
    <row r="5" spans="1:11" x14ac:dyDescent="0.3">
      <c r="A5" s="10" t="s">
        <v>47</v>
      </c>
      <c r="B5" s="38">
        <f>+'Book Depr E&amp;G'!$B$190</f>
        <v>0.80991373405420919</v>
      </c>
      <c r="C5" s="38">
        <f t="shared" ref="C5:C44" si="0">1-B5</f>
        <v>0.19008626594579081</v>
      </c>
      <c r="D5" s="38"/>
      <c r="E5" s="38">
        <f>+'Book Depr E&amp;G'!$C$190</f>
        <v>0.83823365249460446</v>
      </c>
      <c r="F5" s="38">
        <f t="shared" ref="F5:F44" si="1">1-E5</f>
        <v>0.16176634750539554</v>
      </c>
      <c r="G5" s="38"/>
      <c r="H5" s="38">
        <f>+'Book Depr E&amp;G'!$D$190</f>
        <v>0.84259373117354164</v>
      </c>
      <c r="I5" s="38">
        <f t="shared" ref="I5:I43" si="2">1-H5</f>
        <v>0.15740626882645836</v>
      </c>
      <c r="K5" s="10" t="s">
        <v>500</v>
      </c>
    </row>
    <row r="6" spans="1:11" x14ac:dyDescent="0.3">
      <c r="A6" s="10" t="s">
        <v>77</v>
      </c>
      <c r="B6" s="38">
        <v>1</v>
      </c>
      <c r="C6" s="38">
        <f t="shared" si="0"/>
        <v>0</v>
      </c>
      <c r="D6" s="38"/>
      <c r="E6" s="38">
        <f>+B6</f>
        <v>1</v>
      </c>
      <c r="F6" s="38">
        <f t="shared" si="1"/>
        <v>0</v>
      </c>
      <c r="G6" s="38"/>
      <c r="H6" s="38">
        <f>+B6</f>
        <v>1</v>
      </c>
      <c r="I6" s="38">
        <f>1-H6</f>
        <v>0</v>
      </c>
      <c r="K6" s="10" t="s">
        <v>527</v>
      </c>
    </row>
    <row r="7" spans="1:11" x14ac:dyDescent="0.3">
      <c r="A7" s="10" t="s">
        <v>44</v>
      </c>
      <c r="B7" s="38">
        <f>+'Book Depr E&amp;G'!$B$190</f>
        <v>0.80991373405420919</v>
      </c>
      <c r="C7" s="38">
        <f>1-B7</f>
        <v>0.19008626594579081</v>
      </c>
      <c r="D7" s="38"/>
      <c r="E7" s="38">
        <f>+'Book Depr E&amp;G'!$C$190</f>
        <v>0.83823365249460446</v>
      </c>
      <c r="F7" s="38">
        <f>1-E7</f>
        <v>0.16176634750539554</v>
      </c>
      <c r="G7" s="38"/>
      <c r="H7" s="38">
        <f>+'Book Depr E&amp;G'!$D$190</f>
        <v>0.84259373117354164</v>
      </c>
      <c r="I7" s="38">
        <f>1-H7</f>
        <v>0.15740626882645836</v>
      </c>
      <c r="K7" s="10" t="s">
        <v>500</v>
      </c>
    </row>
    <row r="8" spans="1:11" x14ac:dyDescent="0.3">
      <c r="A8" s="10" t="s">
        <v>51</v>
      </c>
      <c r="B8" s="38">
        <f>+'Book Depr E&amp;G'!$B$190</f>
        <v>0.80991373405420919</v>
      </c>
      <c r="C8" s="38">
        <f>1-B8</f>
        <v>0.19008626594579081</v>
      </c>
      <c r="D8" s="38"/>
      <c r="E8" s="38">
        <f>+'Book Depr E&amp;G'!$C$190</f>
        <v>0.83823365249460446</v>
      </c>
      <c r="F8" s="38">
        <f>1-E8</f>
        <v>0.16176634750539554</v>
      </c>
      <c r="G8" s="38"/>
      <c r="H8" s="38">
        <f>+'Book Depr E&amp;G'!$D$190</f>
        <v>0.84259373117354164</v>
      </c>
      <c r="I8" s="38">
        <f>1-H8</f>
        <v>0.15740626882645836</v>
      </c>
      <c r="K8" s="10" t="s">
        <v>500</v>
      </c>
    </row>
    <row r="9" spans="1:11" x14ac:dyDescent="0.3">
      <c r="A9" s="10" t="s">
        <v>305</v>
      </c>
      <c r="B9" s="38">
        <v>0.8216</v>
      </c>
      <c r="C9" s="38">
        <f t="shared" si="0"/>
        <v>0.1784</v>
      </c>
      <c r="D9" s="38"/>
      <c r="E9" s="38">
        <f t="shared" ref="E9:E32" si="3">+B9</f>
        <v>0.8216</v>
      </c>
      <c r="F9" s="38">
        <f t="shared" si="1"/>
        <v>0.1784</v>
      </c>
      <c r="G9" s="38"/>
      <c r="H9" s="38">
        <f t="shared" ref="H9:H32" si="4">+B9</f>
        <v>0.8216</v>
      </c>
      <c r="I9" s="38">
        <f t="shared" si="2"/>
        <v>0.1784</v>
      </c>
      <c r="K9" s="10" t="s">
        <v>501</v>
      </c>
    </row>
    <row r="10" spans="1:11" x14ac:dyDescent="0.3">
      <c r="A10" s="10" t="s">
        <v>306</v>
      </c>
      <c r="B10" s="38">
        <v>0.8216</v>
      </c>
      <c r="C10" s="38">
        <f t="shared" si="0"/>
        <v>0.1784</v>
      </c>
      <c r="D10" s="38"/>
      <c r="E10" s="38">
        <f t="shared" si="3"/>
        <v>0.8216</v>
      </c>
      <c r="F10" s="38">
        <f t="shared" si="1"/>
        <v>0.1784</v>
      </c>
      <c r="G10" s="38"/>
      <c r="H10" s="38">
        <f t="shared" si="4"/>
        <v>0.8216</v>
      </c>
      <c r="I10" s="38">
        <f t="shared" si="2"/>
        <v>0.1784</v>
      </c>
      <c r="K10" s="10" t="s">
        <v>501</v>
      </c>
    </row>
    <row r="11" spans="1:11" x14ac:dyDescent="0.3">
      <c r="A11" s="10" t="s">
        <v>303</v>
      </c>
      <c r="B11" s="38">
        <v>0.8216</v>
      </c>
      <c r="C11" s="38">
        <f t="shared" si="0"/>
        <v>0.1784</v>
      </c>
      <c r="D11" s="38"/>
      <c r="E11" s="38">
        <f t="shared" si="3"/>
        <v>0.8216</v>
      </c>
      <c r="F11" s="38">
        <f t="shared" si="1"/>
        <v>0.1784</v>
      </c>
      <c r="G11" s="38"/>
      <c r="H11" s="38">
        <f t="shared" si="4"/>
        <v>0.8216</v>
      </c>
      <c r="I11" s="38">
        <f t="shared" si="2"/>
        <v>0.1784</v>
      </c>
      <c r="K11" s="10" t="s">
        <v>501</v>
      </c>
    </row>
    <row r="12" spans="1:11" x14ac:dyDescent="0.3">
      <c r="A12" s="10" t="s">
        <v>304</v>
      </c>
      <c r="B12" s="38">
        <v>0.8216</v>
      </c>
      <c r="C12" s="38">
        <f t="shared" si="0"/>
        <v>0.1784</v>
      </c>
      <c r="D12" s="38"/>
      <c r="E12" s="38">
        <f t="shared" si="3"/>
        <v>0.8216</v>
      </c>
      <c r="F12" s="38">
        <f t="shared" si="1"/>
        <v>0.1784</v>
      </c>
      <c r="G12" s="38"/>
      <c r="H12" s="38">
        <f t="shared" si="4"/>
        <v>0.8216</v>
      </c>
      <c r="I12" s="38">
        <f t="shared" si="2"/>
        <v>0.1784</v>
      </c>
      <c r="K12" s="10" t="s">
        <v>501</v>
      </c>
    </row>
    <row r="13" spans="1:11" x14ac:dyDescent="0.3">
      <c r="A13" s="10" t="s">
        <v>80</v>
      </c>
      <c r="B13" s="38">
        <f>+'Book Depr E&amp;G'!$B$190</f>
        <v>0.80991373405420919</v>
      </c>
      <c r="C13" s="38">
        <f>1-B13</f>
        <v>0.19008626594579081</v>
      </c>
      <c r="D13" s="38"/>
      <c r="E13" s="38">
        <f>+'Book Depr E&amp;G'!$C$190</f>
        <v>0.83823365249460446</v>
      </c>
      <c r="F13" s="38">
        <f>1-E13</f>
        <v>0.16176634750539554</v>
      </c>
      <c r="G13" s="38"/>
      <c r="H13" s="38">
        <f>+'Book Depr E&amp;G'!$D$190</f>
        <v>0.84259373117354164</v>
      </c>
      <c r="I13" s="38">
        <f>1-H13</f>
        <v>0.15740626882645836</v>
      </c>
      <c r="K13" s="10" t="s">
        <v>500</v>
      </c>
    </row>
    <row r="14" spans="1:11" x14ac:dyDescent="0.3">
      <c r="A14" s="10" t="s">
        <v>66</v>
      </c>
      <c r="B14" s="38">
        <f>+'Book Depr E&amp;G'!$B$190</f>
        <v>0.80991373405420919</v>
      </c>
      <c r="C14" s="38">
        <f>1-B14</f>
        <v>0.19008626594579081</v>
      </c>
      <c r="D14" s="38"/>
      <c r="E14" s="38">
        <f>+'Book Depr E&amp;G'!$C$190</f>
        <v>0.83823365249460446</v>
      </c>
      <c r="F14" s="38">
        <f>1-E14</f>
        <v>0.16176634750539554</v>
      </c>
      <c r="G14" s="38"/>
      <c r="H14" s="38">
        <f>+'Book Depr E&amp;G'!$D$190</f>
        <v>0.84259373117354164</v>
      </c>
      <c r="I14" s="38">
        <f>1-H14</f>
        <v>0.15740626882645836</v>
      </c>
      <c r="K14" s="10" t="s">
        <v>500</v>
      </c>
    </row>
    <row r="15" spans="1:11" x14ac:dyDescent="0.3">
      <c r="A15" s="10" t="s">
        <v>37</v>
      </c>
      <c r="B15" s="38">
        <v>1</v>
      </c>
      <c r="C15" s="38">
        <f t="shared" si="0"/>
        <v>0</v>
      </c>
      <c r="D15" s="38"/>
      <c r="E15" s="38">
        <f t="shared" si="3"/>
        <v>1</v>
      </c>
      <c r="F15" s="38">
        <f t="shared" si="1"/>
        <v>0</v>
      </c>
      <c r="G15" s="38"/>
      <c r="H15" s="38">
        <f t="shared" si="4"/>
        <v>1</v>
      </c>
      <c r="I15" s="38">
        <f t="shared" si="2"/>
        <v>0</v>
      </c>
      <c r="K15" s="10" t="s">
        <v>944</v>
      </c>
    </row>
    <row r="16" spans="1:11" x14ac:dyDescent="0.3">
      <c r="A16" s="10" t="s">
        <v>38</v>
      </c>
      <c r="B16" s="38">
        <f>100%-C16</f>
        <v>0.99525675162766813</v>
      </c>
      <c r="C16" s="38">
        <f>+'Balance Sheet'!G104/SUM('Balance Sheet'!G28,'Balance Sheet'!G104)</f>
        <v>4.7432483723318236E-3</v>
      </c>
      <c r="D16" s="38"/>
      <c r="E16" s="38">
        <f>+B16</f>
        <v>0.99525675162766813</v>
      </c>
      <c r="F16" s="38">
        <f t="shared" si="1"/>
        <v>4.7432483723318652E-3</v>
      </c>
      <c r="G16" s="38"/>
      <c r="H16" s="38">
        <f t="shared" si="4"/>
        <v>0.99525675162766813</v>
      </c>
      <c r="I16" s="38">
        <f t="shared" si="2"/>
        <v>4.7432483723318652E-3</v>
      </c>
      <c r="K16" s="10" t="s">
        <v>944</v>
      </c>
    </row>
    <row r="17" spans="1:11" x14ac:dyDescent="0.3">
      <c r="A17" s="10" t="s">
        <v>297</v>
      </c>
      <c r="B17" s="38">
        <v>1</v>
      </c>
      <c r="C17" s="38">
        <f t="shared" si="0"/>
        <v>0</v>
      </c>
      <c r="D17" s="38"/>
      <c r="E17" s="38">
        <f t="shared" si="3"/>
        <v>1</v>
      </c>
      <c r="F17" s="38">
        <f t="shared" si="1"/>
        <v>0</v>
      </c>
      <c r="G17" s="38"/>
      <c r="H17" s="38">
        <f t="shared" si="4"/>
        <v>1</v>
      </c>
      <c r="I17" s="38">
        <f t="shared" si="2"/>
        <v>0</v>
      </c>
      <c r="K17" s="10" t="s">
        <v>504</v>
      </c>
    </row>
    <row r="18" spans="1:11" x14ac:dyDescent="0.3">
      <c r="A18" s="10" t="s">
        <v>299</v>
      </c>
      <c r="B18" s="38">
        <v>1</v>
      </c>
      <c r="C18" s="38">
        <f t="shared" si="0"/>
        <v>0</v>
      </c>
      <c r="D18" s="38"/>
      <c r="E18" s="38">
        <f>+B18</f>
        <v>1</v>
      </c>
      <c r="F18" s="38">
        <f t="shared" si="1"/>
        <v>0</v>
      </c>
      <c r="G18" s="38"/>
      <c r="H18" s="38">
        <f>+B18</f>
        <v>1</v>
      </c>
      <c r="I18" s="38">
        <f>1-H18</f>
        <v>0</v>
      </c>
      <c r="K18" s="10" t="s">
        <v>504</v>
      </c>
    </row>
    <row r="19" spans="1:11" x14ac:dyDescent="0.3">
      <c r="A19" s="10" t="s">
        <v>300</v>
      </c>
      <c r="B19" s="38">
        <v>1</v>
      </c>
      <c r="C19" s="38">
        <f t="shared" si="0"/>
        <v>0</v>
      </c>
      <c r="D19" s="38"/>
      <c r="E19" s="38">
        <f>+B19</f>
        <v>1</v>
      </c>
      <c r="F19" s="38">
        <f t="shared" si="1"/>
        <v>0</v>
      </c>
      <c r="G19" s="38"/>
      <c r="H19" s="38">
        <f>+B19</f>
        <v>1</v>
      </c>
      <c r="I19" s="38">
        <f>1-H19</f>
        <v>0</v>
      </c>
      <c r="K19" s="10" t="s">
        <v>504</v>
      </c>
    </row>
    <row r="20" spans="1:11" x14ac:dyDescent="0.3">
      <c r="A20" s="10" t="s">
        <v>302</v>
      </c>
      <c r="B20" s="38">
        <v>1</v>
      </c>
      <c r="C20" s="38">
        <f t="shared" si="0"/>
        <v>0</v>
      </c>
      <c r="D20" s="38"/>
      <c r="E20" s="38">
        <f>+B20</f>
        <v>1</v>
      </c>
      <c r="F20" s="38">
        <f t="shared" si="1"/>
        <v>0</v>
      </c>
      <c r="G20" s="38"/>
      <c r="H20" s="38">
        <f>+B20</f>
        <v>1</v>
      </c>
      <c r="I20" s="38">
        <f>1-H20</f>
        <v>0</v>
      </c>
      <c r="K20" s="10" t="s">
        <v>504</v>
      </c>
    </row>
    <row r="21" spans="1:11" x14ac:dyDescent="0.3">
      <c r="A21" s="10" t="s">
        <v>90</v>
      </c>
      <c r="B21" s="38">
        <v>0</v>
      </c>
      <c r="C21" s="38">
        <f t="shared" si="0"/>
        <v>1</v>
      </c>
      <c r="D21" s="38"/>
      <c r="E21" s="38">
        <f t="shared" si="3"/>
        <v>0</v>
      </c>
      <c r="F21" s="38">
        <f t="shared" si="1"/>
        <v>1</v>
      </c>
      <c r="G21" s="38"/>
      <c r="H21" s="38">
        <f t="shared" si="4"/>
        <v>0</v>
      </c>
      <c r="I21" s="38">
        <f t="shared" si="2"/>
        <v>1</v>
      </c>
      <c r="K21" s="10" t="s">
        <v>505</v>
      </c>
    </row>
    <row r="22" spans="1:11" x14ac:dyDescent="0.3">
      <c r="A22" s="10" t="s">
        <v>58</v>
      </c>
      <c r="B22" s="38">
        <v>1</v>
      </c>
      <c r="C22" s="38">
        <f t="shared" si="0"/>
        <v>0</v>
      </c>
      <c r="D22" s="38"/>
      <c r="E22" s="38">
        <f t="shared" si="3"/>
        <v>1</v>
      </c>
      <c r="F22" s="38">
        <f t="shared" si="1"/>
        <v>0</v>
      </c>
      <c r="G22" s="38"/>
      <c r="H22" s="38">
        <f t="shared" si="4"/>
        <v>1</v>
      </c>
      <c r="I22" s="38">
        <f t="shared" si="2"/>
        <v>0</v>
      </c>
      <c r="K22" s="10" t="s">
        <v>504</v>
      </c>
    </row>
    <row r="23" spans="1:11" x14ac:dyDescent="0.3">
      <c r="A23" s="10" t="s">
        <v>59</v>
      </c>
      <c r="B23" s="38">
        <v>1</v>
      </c>
      <c r="C23" s="38">
        <f t="shared" si="0"/>
        <v>0</v>
      </c>
      <c r="D23" s="38"/>
      <c r="E23" s="38">
        <f t="shared" si="3"/>
        <v>1</v>
      </c>
      <c r="F23" s="38">
        <f t="shared" si="1"/>
        <v>0</v>
      </c>
      <c r="G23" s="38"/>
      <c r="H23" s="38">
        <f t="shared" si="4"/>
        <v>1</v>
      </c>
      <c r="I23" s="38">
        <f t="shared" si="2"/>
        <v>0</v>
      </c>
      <c r="K23" s="10" t="s">
        <v>504</v>
      </c>
    </row>
    <row r="24" spans="1:11" x14ac:dyDescent="0.3">
      <c r="A24" s="10" t="s">
        <v>75</v>
      </c>
      <c r="B24" s="38">
        <v>0.8216</v>
      </c>
      <c r="C24" s="38">
        <f t="shared" si="0"/>
        <v>0.1784</v>
      </c>
      <c r="D24" s="38"/>
      <c r="E24" s="38">
        <f t="shared" si="3"/>
        <v>0.8216</v>
      </c>
      <c r="F24" s="38">
        <f t="shared" si="1"/>
        <v>0.1784</v>
      </c>
      <c r="G24" s="38"/>
      <c r="H24" s="38">
        <f t="shared" si="4"/>
        <v>0.8216</v>
      </c>
      <c r="I24" s="38">
        <f t="shared" si="2"/>
        <v>0.1784</v>
      </c>
      <c r="K24" s="10" t="s">
        <v>501</v>
      </c>
    </row>
    <row r="25" spans="1:11" x14ac:dyDescent="0.3">
      <c r="A25" s="10" t="s">
        <v>49</v>
      </c>
      <c r="B25" s="38">
        <v>1</v>
      </c>
      <c r="C25" s="38">
        <f t="shared" si="0"/>
        <v>0</v>
      </c>
      <c r="D25" s="38"/>
      <c r="E25" s="38">
        <f t="shared" si="3"/>
        <v>1</v>
      </c>
      <c r="F25" s="38">
        <f t="shared" si="1"/>
        <v>0</v>
      </c>
      <c r="G25" s="38"/>
      <c r="H25" s="38">
        <f t="shared" si="4"/>
        <v>1</v>
      </c>
      <c r="I25" s="38">
        <f t="shared" si="2"/>
        <v>0</v>
      </c>
      <c r="K25" s="10" t="s">
        <v>504</v>
      </c>
    </row>
    <row r="26" spans="1:11" x14ac:dyDescent="0.3">
      <c r="A26" s="10" t="s">
        <v>41</v>
      </c>
      <c r="B26" s="38">
        <v>0.8216</v>
      </c>
      <c r="C26" s="38">
        <f t="shared" si="0"/>
        <v>0.1784</v>
      </c>
      <c r="D26" s="38"/>
      <c r="E26" s="38">
        <f t="shared" si="3"/>
        <v>0.8216</v>
      </c>
      <c r="F26" s="38">
        <f t="shared" si="1"/>
        <v>0.1784</v>
      </c>
      <c r="G26" s="38"/>
      <c r="H26" s="38">
        <f t="shared" si="4"/>
        <v>0.8216</v>
      </c>
      <c r="I26" s="38">
        <f t="shared" si="2"/>
        <v>0.1784</v>
      </c>
      <c r="K26" s="10" t="s">
        <v>501</v>
      </c>
    </row>
    <row r="27" spans="1:11" x14ac:dyDescent="0.3">
      <c r="A27" s="10" t="s">
        <v>294</v>
      </c>
      <c r="B27" s="38">
        <v>0.8216</v>
      </c>
      <c r="C27" s="38">
        <f t="shared" si="0"/>
        <v>0.1784</v>
      </c>
      <c r="D27" s="38"/>
      <c r="E27" s="38">
        <f>+B27</f>
        <v>0.8216</v>
      </c>
      <c r="F27" s="38">
        <f t="shared" si="1"/>
        <v>0.1784</v>
      </c>
      <c r="G27" s="38"/>
      <c r="H27" s="38">
        <f>+B27</f>
        <v>0.8216</v>
      </c>
      <c r="I27" s="38">
        <f>1-H27</f>
        <v>0.1784</v>
      </c>
      <c r="K27" s="10" t="s">
        <v>501</v>
      </c>
    </row>
    <row r="28" spans="1:11" x14ac:dyDescent="0.3">
      <c r="A28" s="10" t="s">
        <v>295</v>
      </c>
      <c r="B28" s="38">
        <v>0.8216</v>
      </c>
      <c r="C28" s="38">
        <f t="shared" si="0"/>
        <v>0.1784</v>
      </c>
      <c r="D28" s="38"/>
      <c r="E28" s="38">
        <f t="shared" si="3"/>
        <v>0.8216</v>
      </c>
      <c r="F28" s="38">
        <f t="shared" si="1"/>
        <v>0.1784</v>
      </c>
      <c r="G28" s="38"/>
      <c r="H28" s="38">
        <f t="shared" si="4"/>
        <v>0.8216</v>
      </c>
      <c r="I28" s="38">
        <f t="shared" si="2"/>
        <v>0.1784</v>
      </c>
      <c r="K28" s="10" t="s">
        <v>501</v>
      </c>
    </row>
    <row r="29" spans="1:11" x14ac:dyDescent="0.3">
      <c r="A29" s="10" t="s">
        <v>39</v>
      </c>
      <c r="B29" s="38">
        <v>1</v>
      </c>
      <c r="C29" s="38">
        <f t="shared" si="0"/>
        <v>0</v>
      </c>
      <c r="D29" s="38"/>
      <c r="E29" s="38">
        <f t="shared" si="3"/>
        <v>1</v>
      </c>
      <c r="F29" s="38">
        <f t="shared" si="1"/>
        <v>0</v>
      </c>
      <c r="G29" s="38"/>
      <c r="H29" s="38">
        <f t="shared" si="4"/>
        <v>1</v>
      </c>
      <c r="I29" s="38">
        <f t="shared" si="2"/>
        <v>0</v>
      </c>
      <c r="K29" s="10" t="s">
        <v>503</v>
      </c>
    </row>
    <row r="30" spans="1:11" x14ac:dyDescent="0.3">
      <c r="A30" s="10" t="s">
        <v>70</v>
      </c>
      <c r="B30" s="38">
        <v>1</v>
      </c>
      <c r="C30" s="38">
        <f t="shared" si="0"/>
        <v>0</v>
      </c>
      <c r="D30" s="38"/>
      <c r="E30" s="38">
        <f t="shared" si="3"/>
        <v>1</v>
      </c>
      <c r="F30" s="38">
        <f t="shared" si="1"/>
        <v>0</v>
      </c>
      <c r="G30" s="38"/>
      <c r="H30" s="38">
        <f t="shared" si="4"/>
        <v>1</v>
      </c>
      <c r="I30" s="38">
        <f t="shared" si="2"/>
        <v>0</v>
      </c>
      <c r="K30" s="10" t="s">
        <v>504</v>
      </c>
    </row>
    <row r="31" spans="1:11" x14ac:dyDescent="0.3">
      <c r="A31" s="10" t="s">
        <v>53</v>
      </c>
      <c r="B31" s="38">
        <v>0.11</v>
      </c>
      <c r="C31" s="38">
        <f t="shared" si="0"/>
        <v>0.89</v>
      </c>
      <c r="D31" s="38"/>
      <c r="E31" s="38">
        <f t="shared" si="3"/>
        <v>0.11</v>
      </c>
      <c r="F31" s="38">
        <f t="shared" si="1"/>
        <v>0.89</v>
      </c>
      <c r="G31" s="38"/>
      <c r="H31" s="38">
        <f t="shared" si="4"/>
        <v>0.11</v>
      </c>
      <c r="I31" s="38">
        <f t="shared" si="2"/>
        <v>0.89</v>
      </c>
      <c r="K31" s="10" t="s">
        <v>945</v>
      </c>
    </row>
    <row r="32" spans="1:11" x14ac:dyDescent="0.3">
      <c r="A32" s="10" t="s">
        <v>88</v>
      </c>
      <c r="B32" s="38">
        <v>0</v>
      </c>
      <c r="C32" s="38">
        <f t="shared" si="0"/>
        <v>1</v>
      </c>
      <c r="D32" s="38"/>
      <c r="E32" s="38">
        <f t="shared" si="3"/>
        <v>0</v>
      </c>
      <c r="F32" s="38">
        <f t="shared" si="1"/>
        <v>1</v>
      </c>
      <c r="G32" s="38"/>
      <c r="H32" s="38">
        <f t="shared" si="4"/>
        <v>0</v>
      </c>
      <c r="I32" s="38">
        <f t="shared" si="2"/>
        <v>1</v>
      </c>
      <c r="K32" s="10" t="s">
        <v>505</v>
      </c>
    </row>
    <row r="33" spans="1:11" x14ac:dyDescent="0.3">
      <c r="A33" s="10" t="s">
        <v>78</v>
      </c>
      <c r="B33" s="38">
        <f>+'Tax Depr E&amp;G Federal'!$B$67</f>
        <v>0.80930965118775589</v>
      </c>
      <c r="C33" s="38">
        <f t="shared" si="0"/>
        <v>0.19069034881224411</v>
      </c>
      <c r="D33" s="38"/>
      <c r="E33" s="38">
        <f>+'Tax Depr E&amp;G Federal'!$C$67</f>
        <v>0.79890490033500006</v>
      </c>
      <c r="F33" s="38">
        <f t="shared" si="1"/>
        <v>0.20109509966499994</v>
      </c>
      <c r="G33" s="38"/>
      <c r="H33" s="38">
        <f>+'Tax Depr E&amp;G Federal'!$D$67</f>
        <v>0.78030296620847484</v>
      </c>
      <c r="I33" s="38">
        <f t="shared" si="2"/>
        <v>0.21969703379152516</v>
      </c>
      <c r="K33" s="10" t="s">
        <v>600</v>
      </c>
    </row>
    <row r="34" spans="1:11" x14ac:dyDescent="0.3">
      <c r="A34" s="10" t="s">
        <v>79</v>
      </c>
      <c r="B34" s="38">
        <f>+'Tax Depr E&amp;G State'!$B$68</f>
        <v>0.82196854564626209</v>
      </c>
      <c r="C34" s="38">
        <f t="shared" si="0"/>
        <v>0.17803145435373791</v>
      </c>
      <c r="D34" s="38"/>
      <c r="E34" s="38">
        <f>+'Tax Depr E&amp;G State'!$C$68</f>
        <v>0.81997762620450299</v>
      </c>
      <c r="F34" s="38">
        <f t="shared" si="1"/>
        <v>0.18002237379549701</v>
      </c>
      <c r="G34" s="38"/>
      <c r="H34" s="38">
        <f>+'Tax Depr E&amp;G State'!$D$68</f>
        <v>0.80384592364449692</v>
      </c>
      <c r="I34" s="38">
        <f t="shared" si="2"/>
        <v>0.19615407635550308</v>
      </c>
      <c r="K34" s="10" t="s">
        <v>502</v>
      </c>
    </row>
    <row r="35" spans="1:11" x14ac:dyDescent="0.3">
      <c r="A35" s="10" t="s">
        <v>625</v>
      </c>
      <c r="B35" s="38">
        <v>1</v>
      </c>
      <c r="C35" s="38">
        <f t="shared" si="0"/>
        <v>0</v>
      </c>
      <c r="D35" s="38"/>
      <c r="E35" s="38">
        <f>+B35</f>
        <v>1</v>
      </c>
      <c r="F35" s="38">
        <f t="shared" si="1"/>
        <v>0</v>
      </c>
      <c r="G35" s="38"/>
      <c r="H35" s="38">
        <f>+B35</f>
        <v>1</v>
      </c>
      <c r="I35" s="38">
        <f t="shared" ref="I35:I40" si="5">1-H35</f>
        <v>0</v>
      </c>
      <c r="K35" s="10" t="s">
        <v>504</v>
      </c>
    </row>
    <row r="36" spans="1:11" x14ac:dyDescent="0.3">
      <c r="A36" s="10" t="s">
        <v>310</v>
      </c>
      <c r="B36" s="38">
        <v>1</v>
      </c>
      <c r="C36" s="38">
        <f t="shared" si="0"/>
        <v>0</v>
      </c>
      <c r="D36" s="38"/>
      <c r="E36" s="38">
        <f>+B36</f>
        <v>1</v>
      </c>
      <c r="F36" s="38">
        <f t="shared" si="1"/>
        <v>0</v>
      </c>
      <c r="G36" s="38"/>
      <c r="H36" s="38">
        <f>+B36</f>
        <v>1</v>
      </c>
      <c r="I36" s="38">
        <f t="shared" si="5"/>
        <v>0</v>
      </c>
      <c r="K36" s="10" t="s">
        <v>504</v>
      </c>
    </row>
    <row r="37" spans="1:11" x14ac:dyDescent="0.3">
      <c r="A37" s="10" t="s">
        <v>311</v>
      </c>
      <c r="B37" s="38">
        <v>1</v>
      </c>
      <c r="C37" s="38">
        <f t="shared" si="0"/>
        <v>0</v>
      </c>
      <c r="D37" s="38"/>
      <c r="E37" s="38">
        <f>+B37</f>
        <v>1</v>
      </c>
      <c r="F37" s="38">
        <f t="shared" si="1"/>
        <v>0</v>
      </c>
      <c r="G37" s="38"/>
      <c r="H37" s="38">
        <f>+B37</f>
        <v>1</v>
      </c>
      <c r="I37" s="38">
        <f t="shared" si="5"/>
        <v>0</v>
      </c>
      <c r="K37" s="10" t="s">
        <v>504</v>
      </c>
    </row>
    <row r="38" spans="1:11" x14ac:dyDescent="0.3">
      <c r="A38" s="10" t="s">
        <v>496</v>
      </c>
      <c r="B38" s="38">
        <v>1</v>
      </c>
      <c r="C38" s="38">
        <f t="shared" si="0"/>
        <v>0</v>
      </c>
      <c r="D38" s="38"/>
      <c r="E38" s="38">
        <f>+B38</f>
        <v>1</v>
      </c>
      <c r="F38" s="38">
        <f t="shared" si="1"/>
        <v>0</v>
      </c>
      <c r="G38" s="38"/>
      <c r="H38" s="38">
        <f>+B38</f>
        <v>1</v>
      </c>
      <c r="I38" s="38">
        <f t="shared" si="5"/>
        <v>0</v>
      </c>
      <c r="K38" s="10" t="s">
        <v>504</v>
      </c>
    </row>
    <row r="39" spans="1:11" x14ac:dyDescent="0.3">
      <c r="A39" s="10" t="s">
        <v>100</v>
      </c>
      <c r="B39" s="38">
        <v>0.80798296114063606</v>
      </c>
      <c r="C39" s="38">
        <f t="shared" si="0"/>
        <v>0.19201703885936394</v>
      </c>
      <c r="D39" s="38"/>
      <c r="E39" s="38">
        <v>0.80537258752780572</v>
      </c>
      <c r="F39" s="38">
        <f t="shared" si="1"/>
        <v>0.19462741247219428</v>
      </c>
      <c r="G39" s="38"/>
      <c r="H39" s="38">
        <v>0.80493100453466471</v>
      </c>
      <c r="I39" s="38">
        <f t="shared" si="5"/>
        <v>0.19506899546533529</v>
      </c>
      <c r="K39" s="10" t="s">
        <v>964</v>
      </c>
    </row>
    <row r="40" spans="1:11" x14ac:dyDescent="0.3">
      <c r="A40" s="10" t="s">
        <v>102</v>
      </c>
      <c r="B40" s="38">
        <f>+B39</f>
        <v>0.80798296114063606</v>
      </c>
      <c r="C40" s="38">
        <f t="shared" si="0"/>
        <v>0.19201703885936394</v>
      </c>
      <c r="D40" s="38"/>
      <c r="E40" s="38">
        <f>+E39</f>
        <v>0.80537258752780572</v>
      </c>
      <c r="F40" s="38">
        <f t="shared" si="1"/>
        <v>0.19462741247219428</v>
      </c>
      <c r="G40" s="38"/>
      <c r="H40" s="38">
        <f>+H39</f>
        <v>0.80493100453466471</v>
      </c>
      <c r="I40" s="38">
        <f t="shared" si="5"/>
        <v>0.19506899546533529</v>
      </c>
      <c r="K40" s="10" t="s">
        <v>964</v>
      </c>
    </row>
    <row r="41" spans="1:11" x14ac:dyDescent="0.3">
      <c r="A41" s="10" t="s">
        <v>101</v>
      </c>
      <c r="B41" s="38">
        <v>1</v>
      </c>
      <c r="C41" s="38">
        <f t="shared" si="0"/>
        <v>0</v>
      </c>
      <c r="D41" s="38"/>
      <c r="E41" s="38">
        <f>+B41</f>
        <v>1</v>
      </c>
      <c r="F41" s="38">
        <f t="shared" si="1"/>
        <v>0</v>
      </c>
      <c r="G41" s="38"/>
      <c r="H41" s="38">
        <f>+B41</f>
        <v>1</v>
      </c>
      <c r="I41" s="38">
        <f t="shared" si="2"/>
        <v>0</v>
      </c>
      <c r="K41" s="10" t="s">
        <v>504</v>
      </c>
    </row>
    <row r="42" spans="1:11" x14ac:dyDescent="0.3">
      <c r="A42" s="10" t="s">
        <v>261</v>
      </c>
      <c r="B42" s="38"/>
      <c r="C42" s="38"/>
      <c r="D42" s="38"/>
      <c r="E42" s="38"/>
      <c r="F42" s="38"/>
      <c r="G42" s="38"/>
      <c r="H42" s="38"/>
      <c r="I42" s="38"/>
      <c r="K42" s="10" t="s">
        <v>963</v>
      </c>
    </row>
    <row r="43" spans="1:11" x14ac:dyDescent="0.3">
      <c r="A43" s="10" t="s">
        <v>262</v>
      </c>
      <c r="B43" s="38">
        <v>1</v>
      </c>
      <c r="C43" s="38">
        <f t="shared" si="0"/>
        <v>0</v>
      </c>
      <c r="D43" s="38"/>
      <c r="E43" s="38">
        <f>+B43</f>
        <v>1</v>
      </c>
      <c r="F43" s="38">
        <f t="shared" si="1"/>
        <v>0</v>
      </c>
      <c r="G43" s="38"/>
      <c r="H43" s="38">
        <f>+B43</f>
        <v>1</v>
      </c>
      <c r="I43" s="38">
        <f t="shared" si="2"/>
        <v>0</v>
      </c>
      <c r="K43" s="10" t="s">
        <v>504</v>
      </c>
    </row>
    <row r="44" spans="1:11" s="15" customFormat="1" x14ac:dyDescent="0.3">
      <c r="A44" s="15" t="s">
        <v>318</v>
      </c>
      <c r="B44" s="48">
        <f>+'Balance Sheet'!G71/SUM('Balance Sheet'!G71,'Balance Sheet'!G135)</f>
        <v>0.86846780255018952</v>
      </c>
      <c r="C44" s="48">
        <f t="shared" si="0"/>
        <v>0.13153219744981048</v>
      </c>
      <c r="D44" s="48"/>
      <c r="E44" s="48">
        <f>+B44</f>
        <v>0.86846780255018952</v>
      </c>
      <c r="F44" s="48">
        <f t="shared" si="1"/>
        <v>0.13153219744981048</v>
      </c>
      <c r="G44" s="48"/>
      <c r="H44" s="48">
        <f>+B44</f>
        <v>0.86846780255018952</v>
      </c>
      <c r="I44" s="48">
        <f>1-H44</f>
        <v>0.13153219744981048</v>
      </c>
      <c r="K44" s="15" t="s">
        <v>507</v>
      </c>
    </row>
    <row r="45" spans="1:11" s="15" customFormat="1" x14ac:dyDescent="0.3">
      <c r="A45" s="15" t="s">
        <v>97</v>
      </c>
      <c r="B45" s="38">
        <f>100%-C45</f>
        <v>0.97763610812168622</v>
      </c>
      <c r="C45" s="48">
        <v>2.2363891878313821E-2</v>
      </c>
      <c r="D45" s="48"/>
      <c r="E45" s="38">
        <f>100%-F45</f>
        <v>0.99368284812224483</v>
      </c>
      <c r="F45" s="48">
        <v>6.3171518777551654E-3</v>
      </c>
      <c r="G45" s="48"/>
      <c r="H45" s="38">
        <f>100%-I45</f>
        <v>0.9990437591334802</v>
      </c>
      <c r="I45" s="48">
        <v>9.5624086651980602E-4</v>
      </c>
      <c r="K45" s="15" t="s">
        <v>506</v>
      </c>
    </row>
  </sheetData>
  <autoFilter ref="A4:K45"/>
  <mergeCells count="3">
    <mergeCell ref="B3:C3"/>
    <mergeCell ref="E3:F3"/>
    <mergeCell ref="H3:I3"/>
  </mergeCells>
  <pageMargins left="0.7" right="0.7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536"/>
  <sheetViews>
    <sheetView workbookViewId="0">
      <pane xSplit="1" ySplit="4" topLeftCell="AI5" activePane="bottomRight" state="frozen"/>
      <selection activeCell="A16" sqref="A16"/>
      <selection pane="topRight" activeCell="A16" sqref="A16"/>
      <selection pane="bottomLeft" activeCell="A16" sqref="A16"/>
      <selection pane="bottomRight" activeCell="A2" sqref="A2"/>
    </sheetView>
  </sheetViews>
  <sheetFormatPr defaultColWidth="9.109375" defaultRowHeight="8.4" x14ac:dyDescent="0.15"/>
  <cols>
    <col min="1" max="1" width="30.6640625" style="4" customWidth="1"/>
    <col min="2" max="40" width="10.6640625" style="5" customWidth="1"/>
    <col min="41" max="16384" width="9.109375" style="5"/>
  </cols>
  <sheetData>
    <row r="1" spans="1:40" s="145" customFormat="1" ht="10.199999999999999" x14ac:dyDescent="0.2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</row>
    <row r="2" spans="1:40" s="145" customFormat="1" ht="10.199999999999999" x14ac:dyDescent="0.2">
      <c r="A2" s="143"/>
      <c r="B2" s="144" t="s">
        <v>645</v>
      </c>
      <c r="C2" s="144" t="s">
        <v>646</v>
      </c>
      <c r="D2" s="144" t="s">
        <v>647</v>
      </c>
      <c r="E2" s="144" t="s">
        <v>648</v>
      </c>
      <c r="F2" s="144" t="s">
        <v>649</v>
      </c>
      <c r="G2" s="144" t="s">
        <v>650</v>
      </c>
      <c r="H2" s="144" t="s">
        <v>1</v>
      </c>
      <c r="I2" s="144" t="s">
        <v>2</v>
      </c>
      <c r="J2" s="144" t="s">
        <v>3</v>
      </c>
      <c r="K2" s="144" t="s">
        <v>4</v>
      </c>
      <c r="L2" s="144" t="s">
        <v>5</v>
      </c>
      <c r="M2" s="144" t="s">
        <v>6</v>
      </c>
      <c r="N2" s="144"/>
      <c r="O2" s="144" t="s">
        <v>8</v>
      </c>
      <c r="P2" s="144" t="s">
        <v>9</v>
      </c>
      <c r="Q2" s="144" t="s">
        <v>10</v>
      </c>
      <c r="R2" s="144" t="s">
        <v>11</v>
      </c>
      <c r="S2" s="144" t="s">
        <v>12</v>
      </c>
      <c r="T2" s="144" t="s">
        <v>13</v>
      </c>
      <c r="U2" s="144" t="s">
        <v>14</v>
      </c>
      <c r="V2" s="144" t="s">
        <v>15</v>
      </c>
      <c r="W2" s="144" t="s">
        <v>16</v>
      </c>
      <c r="X2" s="144" t="s">
        <v>17</v>
      </c>
      <c r="Y2" s="144" t="s">
        <v>18</v>
      </c>
      <c r="Z2" s="144" t="s">
        <v>19</v>
      </c>
      <c r="AA2" s="144"/>
      <c r="AB2" s="144" t="s">
        <v>21</v>
      </c>
      <c r="AC2" s="144" t="s">
        <v>22</v>
      </c>
      <c r="AD2" s="144" t="s">
        <v>23</v>
      </c>
      <c r="AE2" s="144" t="s">
        <v>24</v>
      </c>
      <c r="AF2" s="144" t="s">
        <v>25</v>
      </c>
      <c r="AG2" s="144" t="s">
        <v>26</v>
      </c>
      <c r="AH2" s="144" t="s">
        <v>27</v>
      </c>
      <c r="AI2" s="144" t="s">
        <v>28</v>
      </c>
      <c r="AJ2" s="144" t="s">
        <v>29</v>
      </c>
      <c r="AK2" s="144" t="s">
        <v>30</v>
      </c>
      <c r="AL2" s="144" t="s">
        <v>31</v>
      </c>
      <c r="AM2" s="144" t="s">
        <v>32</v>
      </c>
      <c r="AN2" s="144"/>
    </row>
    <row r="3" spans="1:40" s="145" customFormat="1" ht="10.199999999999999" x14ac:dyDescent="0.2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</row>
    <row r="4" spans="1:40" ht="14.4" x14ac:dyDescent="0.3">
      <c r="A4" s="146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4.4" x14ac:dyDescent="0.3">
      <c r="A5" s="147" t="s">
        <v>657</v>
      </c>
      <c r="B5" s="148">
        <v>201801</v>
      </c>
      <c r="C5" s="148">
        <v>201802</v>
      </c>
      <c r="D5" s="148">
        <v>201803</v>
      </c>
      <c r="E5" s="148">
        <v>201804</v>
      </c>
      <c r="F5" s="148">
        <v>201805</v>
      </c>
      <c r="G5" s="148">
        <v>201806</v>
      </c>
      <c r="H5" s="148">
        <v>201807</v>
      </c>
      <c r="I5" s="148">
        <v>201808</v>
      </c>
      <c r="J5" s="148">
        <v>201809</v>
      </c>
      <c r="K5" s="148">
        <v>201810</v>
      </c>
      <c r="L5" s="148">
        <v>201811</v>
      </c>
      <c r="M5" s="148">
        <v>201812</v>
      </c>
      <c r="N5" s="10"/>
      <c r="O5" s="148">
        <v>201901</v>
      </c>
      <c r="P5" s="148">
        <v>201902</v>
      </c>
      <c r="Q5" s="148">
        <v>201903</v>
      </c>
      <c r="R5" s="148">
        <v>201904</v>
      </c>
      <c r="S5" s="148">
        <v>201905</v>
      </c>
      <c r="T5" s="148">
        <v>201906</v>
      </c>
      <c r="U5" s="148">
        <v>201907</v>
      </c>
      <c r="V5" s="148">
        <v>201908</v>
      </c>
      <c r="W5" s="148">
        <v>201909</v>
      </c>
      <c r="X5" s="148">
        <v>201910</v>
      </c>
      <c r="Y5" s="148">
        <v>201911</v>
      </c>
      <c r="Z5" s="148">
        <v>201912</v>
      </c>
      <c r="AA5" s="10"/>
      <c r="AB5" s="148">
        <v>202001</v>
      </c>
      <c r="AC5" s="148">
        <v>202002</v>
      </c>
      <c r="AD5" s="148">
        <v>202003</v>
      </c>
      <c r="AE5" s="148">
        <v>202004</v>
      </c>
      <c r="AF5" s="148">
        <v>202005</v>
      </c>
      <c r="AG5" s="148">
        <v>202006</v>
      </c>
      <c r="AH5" s="148">
        <v>202007</v>
      </c>
      <c r="AI5" s="148">
        <v>202008</v>
      </c>
      <c r="AJ5" s="148">
        <v>202009</v>
      </c>
      <c r="AK5" s="148">
        <v>202010</v>
      </c>
      <c r="AL5" s="148">
        <v>202011</v>
      </c>
      <c r="AM5" s="148">
        <v>202012</v>
      </c>
      <c r="AN5" s="10"/>
    </row>
    <row r="6" spans="1:40" ht="14.4" x14ac:dyDescent="0.3">
      <c r="A6" s="147" t="s">
        <v>658</v>
      </c>
      <c r="B6" s="148">
        <v>201801</v>
      </c>
      <c r="C6" s="148">
        <v>201801</v>
      </c>
      <c r="D6" s="148">
        <v>201801</v>
      </c>
      <c r="E6" s="148">
        <v>201801</v>
      </c>
      <c r="F6" s="148">
        <v>201801</v>
      </c>
      <c r="G6" s="148">
        <v>201801</v>
      </c>
      <c r="H6" s="148">
        <v>201801</v>
      </c>
      <c r="I6" s="148">
        <v>201801</v>
      </c>
      <c r="J6" s="148">
        <v>201801</v>
      </c>
      <c r="K6" s="148">
        <v>201801</v>
      </c>
      <c r="L6" s="148">
        <v>201801</v>
      </c>
      <c r="M6" s="148">
        <v>201801</v>
      </c>
      <c r="N6" s="10"/>
      <c r="O6" s="148">
        <v>201801</v>
      </c>
      <c r="P6" s="148">
        <v>201801</v>
      </c>
      <c r="Q6" s="148">
        <v>201801</v>
      </c>
      <c r="R6" s="148">
        <v>201801</v>
      </c>
      <c r="S6" s="148">
        <v>201801</v>
      </c>
      <c r="T6" s="148">
        <v>201801</v>
      </c>
      <c r="U6" s="148">
        <v>201801</v>
      </c>
      <c r="V6" s="148">
        <v>201801</v>
      </c>
      <c r="W6" s="148">
        <v>201801</v>
      </c>
      <c r="X6" s="148">
        <v>201801</v>
      </c>
      <c r="Y6" s="148">
        <v>201801</v>
      </c>
      <c r="Z6" s="148">
        <v>201801</v>
      </c>
      <c r="AA6" s="10"/>
      <c r="AB6" s="148">
        <v>201801</v>
      </c>
      <c r="AC6" s="148">
        <v>201801</v>
      </c>
      <c r="AD6" s="148">
        <v>201801</v>
      </c>
      <c r="AE6" s="148">
        <v>201801</v>
      </c>
      <c r="AF6" s="148">
        <v>201801</v>
      </c>
      <c r="AG6" s="148">
        <v>201801</v>
      </c>
      <c r="AH6" s="148">
        <v>201801</v>
      </c>
      <c r="AI6" s="148">
        <v>201801</v>
      </c>
      <c r="AJ6" s="148">
        <v>201801</v>
      </c>
      <c r="AK6" s="148">
        <v>201801</v>
      </c>
      <c r="AL6" s="148">
        <v>201801</v>
      </c>
      <c r="AM6" s="148">
        <v>201801</v>
      </c>
      <c r="AN6" s="10"/>
    </row>
    <row r="7" spans="1:40" ht="14.4" x14ac:dyDescent="0.3">
      <c r="A7" s="147" t="s">
        <v>659</v>
      </c>
      <c r="B7" s="148">
        <v>201702</v>
      </c>
      <c r="C7" s="148">
        <v>201702</v>
      </c>
      <c r="D7" s="148">
        <v>201702</v>
      </c>
      <c r="E7" s="148">
        <v>201702</v>
      </c>
      <c r="F7" s="148">
        <v>201702</v>
      </c>
      <c r="G7" s="148">
        <v>201702</v>
      </c>
      <c r="H7" s="148">
        <v>201702</v>
      </c>
      <c r="I7" s="148">
        <v>201702</v>
      </c>
      <c r="J7" s="148">
        <v>201702</v>
      </c>
      <c r="K7" s="148">
        <v>201702</v>
      </c>
      <c r="L7" s="148">
        <v>201702</v>
      </c>
      <c r="M7" s="148">
        <v>201702</v>
      </c>
      <c r="N7" s="10"/>
      <c r="O7" s="148">
        <v>201702</v>
      </c>
      <c r="P7" s="148">
        <v>201702</v>
      </c>
      <c r="Q7" s="148">
        <v>201702</v>
      </c>
      <c r="R7" s="148">
        <v>201702</v>
      </c>
      <c r="S7" s="148">
        <v>201702</v>
      </c>
      <c r="T7" s="148">
        <v>201702</v>
      </c>
      <c r="U7" s="148">
        <v>201702</v>
      </c>
      <c r="V7" s="148">
        <v>201702</v>
      </c>
      <c r="W7" s="148">
        <v>201702</v>
      </c>
      <c r="X7" s="148">
        <v>201702</v>
      </c>
      <c r="Y7" s="148">
        <v>201702</v>
      </c>
      <c r="Z7" s="148">
        <v>201702</v>
      </c>
      <c r="AA7" s="10"/>
      <c r="AB7" s="148">
        <v>201702</v>
      </c>
      <c r="AC7" s="148">
        <v>201702</v>
      </c>
      <c r="AD7" s="148">
        <v>201702</v>
      </c>
      <c r="AE7" s="148">
        <v>201702</v>
      </c>
      <c r="AF7" s="148">
        <v>201702</v>
      </c>
      <c r="AG7" s="148">
        <v>201702</v>
      </c>
      <c r="AH7" s="148">
        <v>201702</v>
      </c>
      <c r="AI7" s="148">
        <v>201702</v>
      </c>
      <c r="AJ7" s="148">
        <v>201702</v>
      </c>
      <c r="AK7" s="148">
        <v>201702</v>
      </c>
      <c r="AL7" s="148">
        <v>201702</v>
      </c>
      <c r="AM7" s="148">
        <v>201702</v>
      </c>
      <c r="AN7" s="10"/>
    </row>
    <row r="8" spans="1:40" ht="14.4" x14ac:dyDescent="0.3">
      <c r="A8" s="147" t="s">
        <v>660</v>
      </c>
      <c r="B8" s="148">
        <v>0.21</v>
      </c>
      <c r="C8" s="148">
        <v>0.21</v>
      </c>
      <c r="D8" s="148">
        <v>0.21</v>
      </c>
      <c r="E8" s="148">
        <v>0.21</v>
      </c>
      <c r="F8" s="148">
        <v>0.21</v>
      </c>
      <c r="G8" s="148">
        <v>0.21</v>
      </c>
      <c r="H8" s="148">
        <v>0.21</v>
      </c>
      <c r="I8" s="148">
        <v>0.21</v>
      </c>
      <c r="J8" s="148">
        <v>0.21</v>
      </c>
      <c r="K8" s="148">
        <v>0.21</v>
      </c>
      <c r="L8" s="148">
        <v>0.21</v>
      </c>
      <c r="M8" s="148">
        <v>0.21</v>
      </c>
      <c r="N8" s="10"/>
      <c r="O8" s="148">
        <v>0.21</v>
      </c>
      <c r="P8" s="148">
        <v>0.21</v>
      </c>
      <c r="Q8" s="148">
        <v>0.21</v>
      </c>
      <c r="R8" s="148">
        <v>0.21</v>
      </c>
      <c r="S8" s="148">
        <v>0.21</v>
      </c>
      <c r="T8" s="148">
        <v>0.21</v>
      </c>
      <c r="U8" s="148">
        <v>0.21</v>
      </c>
      <c r="V8" s="148">
        <v>0.21</v>
      </c>
      <c r="W8" s="148">
        <v>0.21</v>
      </c>
      <c r="X8" s="148">
        <v>0.21</v>
      </c>
      <c r="Y8" s="148">
        <v>0.21</v>
      </c>
      <c r="Z8" s="148">
        <v>0.21</v>
      </c>
      <c r="AA8" s="10"/>
      <c r="AB8" s="148">
        <v>0.21</v>
      </c>
      <c r="AC8" s="148">
        <v>0.21</v>
      </c>
      <c r="AD8" s="148">
        <v>0.21</v>
      </c>
      <c r="AE8" s="148">
        <v>0.21</v>
      </c>
      <c r="AF8" s="148">
        <v>0.21</v>
      </c>
      <c r="AG8" s="148">
        <v>0.21</v>
      </c>
      <c r="AH8" s="148">
        <v>0.21</v>
      </c>
      <c r="AI8" s="148">
        <v>0.21</v>
      </c>
      <c r="AJ8" s="148">
        <v>0.21</v>
      </c>
      <c r="AK8" s="148">
        <v>0.21</v>
      </c>
      <c r="AL8" s="148">
        <v>0.21</v>
      </c>
      <c r="AM8" s="148">
        <v>0.21</v>
      </c>
      <c r="AN8" s="10"/>
    </row>
    <row r="9" spans="1:40" ht="14.4" x14ac:dyDescent="0.3">
      <c r="A9" s="147" t="s">
        <v>661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4.4" x14ac:dyDescent="0.3">
      <c r="A10" s="147" t="s">
        <v>662</v>
      </c>
      <c r="B10" s="148">
        <v>42047.899449999997</v>
      </c>
      <c r="C10" s="148">
        <v>26637.059309999899</v>
      </c>
      <c r="D10" s="148">
        <v>23758.578990000002</v>
      </c>
      <c r="E10" s="148">
        <v>10102.8509399999</v>
      </c>
      <c r="F10" s="148">
        <v>23986.957549999999</v>
      </c>
      <c r="G10" s="148">
        <v>27401.692070000001</v>
      </c>
      <c r="H10" s="148">
        <v>27302.033251176701</v>
      </c>
      <c r="I10" s="148">
        <v>27190.034650387199</v>
      </c>
      <c r="J10" s="148">
        <v>19829.9136875931</v>
      </c>
      <c r="K10" s="148">
        <v>8691.5457897118395</v>
      </c>
      <c r="L10" s="148">
        <v>18365.686918224001</v>
      </c>
      <c r="M10" s="148">
        <v>27670.000537933902</v>
      </c>
      <c r="N10" s="10"/>
      <c r="O10" s="148">
        <v>33095.008984124703</v>
      </c>
      <c r="P10" s="148">
        <v>28160.275089189599</v>
      </c>
      <c r="Q10" s="148">
        <v>20211.859003672798</v>
      </c>
      <c r="R10" s="148">
        <v>8704.7986400387999</v>
      </c>
      <c r="S10" s="148">
        <v>16234.745953699299</v>
      </c>
      <c r="T10" s="148">
        <v>21644.3779770367</v>
      </c>
      <c r="U10" s="148">
        <v>26031.204566894401</v>
      </c>
      <c r="V10" s="148">
        <v>27271.530625823601</v>
      </c>
      <c r="W10" s="148">
        <v>14680.0817091266</v>
      </c>
      <c r="X10" s="148">
        <v>9294.78437207975</v>
      </c>
      <c r="Y10" s="148">
        <v>17760.871830878201</v>
      </c>
      <c r="Z10" s="148">
        <v>29195.500744785699</v>
      </c>
      <c r="AA10" s="10"/>
      <c r="AB10" s="148">
        <v>36005.865243503998</v>
      </c>
      <c r="AC10" s="148">
        <v>31171.986768861301</v>
      </c>
      <c r="AD10" s="148">
        <v>21447.317698926501</v>
      </c>
      <c r="AE10" s="148">
        <v>9811.62162220143</v>
      </c>
      <c r="AF10" s="148">
        <v>16164.004584030199</v>
      </c>
      <c r="AG10" s="148">
        <v>19440.060794026402</v>
      </c>
      <c r="AH10" s="148">
        <v>25526.188604829698</v>
      </c>
      <c r="AI10" s="148">
        <v>29311.688720058701</v>
      </c>
      <c r="AJ10" s="148">
        <v>18134.563286048</v>
      </c>
      <c r="AK10" s="148">
        <v>8280.34086381421</v>
      </c>
      <c r="AL10" s="148">
        <v>16344.952451569899</v>
      </c>
      <c r="AM10" s="148">
        <v>26310.846851624799</v>
      </c>
      <c r="AN10" s="10"/>
    </row>
    <row r="11" spans="1:40" ht="14.4" x14ac:dyDescent="0.3">
      <c r="A11" s="147" t="s">
        <v>663</v>
      </c>
      <c r="B11" s="148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0"/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148">
        <v>0</v>
      </c>
      <c r="AA11" s="10"/>
      <c r="AB11" s="148">
        <v>0</v>
      </c>
      <c r="AC11" s="148">
        <v>0</v>
      </c>
      <c r="AD11" s="148">
        <v>0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0"/>
    </row>
    <row r="12" spans="1:40" ht="14.4" x14ac:dyDescent="0.3">
      <c r="A12" s="147" t="s">
        <v>664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0"/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0"/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8">
        <v>0</v>
      </c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0"/>
    </row>
    <row r="13" spans="1:40" ht="14.4" x14ac:dyDescent="0.3">
      <c r="A13" s="147" t="s">
        <v>665</v>
      </c>
      <c r="B13" s="148">
        <v>42047.899449999997</v>
      </c>
      <c r="C13" s="148">
        <v>26637.059309999899</v>
      </c>
      <c r="D13" s="148">
        <v>23758.578990000002</v>
      </c>
      <c r="E13" s="148">
        <v>10102.8509399999</v>
      </c>
      <c r="F13" s="148">
        <v>23986.957549999999</v>
      </c>
      <c r="G13" s="148">
        <v>27401.692070000001</v>
      </c>
      <c r="H13" s="148">
        <v>27302.033251176701</v>
      </c>
      <c r="I13" s="148">
        <v>27190.034650387199</v>
      </c>
      <c r="J13" s="148">
        <v>19829.9136875931</v>
      </c>
      <c r="K13" s="148">
        <v>8691.5457897118395</v>
      </c>
      <c r="L13" s="148">
        <v>18365.686918224001</v>
      </c>
      <c r="M13" s="148">
        <v>27670.000537933902</v>
      </c>
      <c r="N13" s="10"/>
      <c r="O13" s="148">
        <v>33095.008984124703</v>
      </c>
      <c r="P13" s="148">
        <v>28160.275089189599</v>
      </c>
      <c r="Q13" s="148">
        <v>20211.859003672798</v>
      </c>
      <c r="R13" s="148">
        <v>8704.7986400387999</v>
      </c>
      <c r="S13" s="148">
        <v>16234.745953699299</v>
      </c>
      <c r="T13" s="148">
        <v>21644.3779770367</v>
      </c>
      <c r="U13" s="148">
        <v>26031.204566894401</v>
      </c>
      <c r="V13" s="148">
        <v>27271.530625823601</v>
      </c>
      <c r="W13" s="148">
        <v>14680.0817091266</v>
      </c>
      <c r="X13" s="148">
        <v>9294.78437207975</v>
      </c>
      <c r="Y13" s="148">
        <v>17760.871830878201</v>
      </c>
      <c r="Z13" s="148">
        <v>29195.500744785699</v>
      </c>
      <c r="AA13" s="10"/>
      <c r="AB13" s="148">
        <v>36005.865243503998</v>
      </c>
      <c r="AC13" s="148">
        <v>31171.986768861301</v>
      </c>
      <c r="AD13" s="148">
        <v>21447.317698926501</v>
      </c>
      <c r="AE13" s="148">
        <v>9811.62162220143</v>
      </c>
      <c r="AF13" s="148">
        <v>16164.004584030199</v>
      </c>
      <c r="AG13" s="148">
        <v>19440.060794026402</v>
      </c>
      <c r="AH13" s="148">
        <v>25526.188604829698</v>
      </c>
      <c r="AI13" s="148">
        <v>29311.688720058701</v>
      </c>
      <c r="AJ13" s="148">
        <v>18134.563286048</v>
      </c>
      <c r="AK13" s="148">
        <v>8280.34086381421</v>
      </c>
      <c r="AL13" s="148">
        <v>16344.952451569899</v>
      </c>
      <c r="AM13" s="148">
        <v>26310.846851624799</v>
      </c>
      <c r="AN13" s="10"/>
    </row>
    <row r="14" spans="1:40" ht="14.4" x14ac:dyDescent="0.3">
      <c r="A14" s="147" t="s">
        <v>666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4.4" x14ac:dyDescent="0.3">
      <c r="A15" s="149" t="s">
        <v>667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4.4" x14ac:dyDescent="0.3">
      <c r="A16" s="147" t="s">
        <v>668</v>
      </c>
      <c r="B16" s="148">
        <v>39.616390000000003</v>
      </c>
      <c r="C16" s="148">
        <v>57.293759999999999</v>
      </c>
      <c r="D16" s="148">
        <v>286.21185000000003</v>
      </c>
      <c r="E16" s="148">
        <v>54.489100000000001</v>
      </c>
      <c r="F16" s="148">
        <v>36.773529999999901</v>
      </c>
      <c r="G16" s="148">
        <v>402.34719999999999</v>
      </c>
      <c r="H16" s="148">
        <v>60.927</v>
      </c>
      <c r="I16" s="148">
        <v>57.146999999999998</v>
      </c>
      <c r="J16" s="148">
        <v>353.01</v>
      </c>
      <c r="K16" s="148">
        <v>67.748999999999995</v>
      </c>
      <c r="L16" s="148">
        <v>56.820999999999898</v>
      </c>
      <c r="M16" s="148">
        <v>351.08499999999998</v>
      </c>
      <c r="N16" s="10"/>
      <c r="O16" s="148">
        <v>89.799000000000007</v>
      </c>
      <c r="P16" s="148">
        <v>52.71</v>
      </c>
      <c r="Q16" s="148">
        <v>247.12</v>
      </c>
      <c r="R16" s="148">
        <v>55.988999999999997</v>
      </c>
      <c r="S16" s="148">
        <v>55.948999999999998</v>
      </c>
      <c r="T16" s="148">
        <v>245.113</v>
      </c>
      <c r="U16" s="148">
        <v>59.170999999999999</v>
      </c>
      <c r="V16" s="148">
        <v>55.673999999999999</v>
      </c>
      <c r="W16" s="148">
        <v>253.023</v>
      </c>
      <c r="X16" s="148">
        <v>59.783999999999999</v>
      </c>
      <c r="Y16" s="148">
        <v>50.808</v>
      </c>
      <c r="Z16" s="148">
        <v>270.387</v>
      </c>
      <c r="AA16" s="10"/>
      <c r="AB16" s="148">
        <v>90.620999999999995</v>
      </c>
      <c r="AC16" s="148">
        <v>53.466999999999999</v>
      </c>
      <c r="AD16" s="148">
        <v>249.136</v>
      </c>
      <c r="AE16" s="148">
        <v>56.789000000000001</v>
      </c>
      <c r="AF16" s="148">
        <v>54.39</v>
      </c>
      <c r="AG16" s="148">
        <v>248.309</v>
      </c>
      <c r="AH16" s="148">
        <v>60.042000000000002</v>
      </c>
      <c r="AI16" s="148">
        <v>55.326000000000001</v>
      </c>
      <c r="AJ16" s="148">
        <v>255.03700000000001</v>
      </c>
      <c r="AK16" s="148">
        <v>59.472000000000001</v>
      </c>
      <c r="AL16" s="148">
        <v>51.555999999999997</v>
      </c>
      <c r="AM16" s="148">
        <v>272.35899999999998</v>
      </c>
      <c r="AN16" s="10"/>
    </row>
    <row r="17" spans="1:40" ht="14.4" x14ac:dyDescent="0.3">
      <c r="A17" s="147" t="s">
        <v>669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0"/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0"/>
      <c r="AB17" s="148">
        <v>0</v>
      </c>
      <c r="AC17" s="148">
        <v>0</v>
      </c>
      <c r="AD17" s="148">
        <v>0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48">
        <v>0</v>
      </c>
      <c r="AK17" s="148">
        <v>0</v>
      </c>
      <c r="AL17" s="148">
        <v>0</v>
      </c>
      <c r="AM17" s="148">
        <v>0</v>
      </c>
      <c r="AN17" s="10"/>
    </row>
    <row r="18" spans="1:40" ht="14.4" x14ac:dyDescent="0.3">
      <c r="A18" s="146" t="s">
        <v>670</v>
      </c>
      <c r="B18" s="148">
        <v>39.616390000000003</v>
      </c>
      <c r="C18" s="148">
        <v>57.293759999999999</v>
      </c>
      <c r="D18" s="148">
        <v>286.21185000000003</v>
      </c>
      <c r="E18" s="148">
        <v>54.489100000000001</v>
      </c>
      <c r="F18" s="148">
        <v>36.773529999999901</v>
      </c>
      <c r="G18" s="148">
        <v>402.34719999999999</v>
      </c>
      <c r="H18" s="148">
        <v>60.927</v>
      </c>
      <c r="I18" s="148">
        <v>57.146999999999998</v>
      </c>
      <c r="J18" s="148">
        <v>353.01</v>
      </c>
      <c r="K18" s="148">
        <v>67.748999999999995</v>
      </c>
      <c r="L18" s="148">
        <v>56.820999999999898</v>
      </c>
      <c r="M18" s="148">
        <v>351.08499999999998</v>
      </c>
      <c r="N18" s="10"/>
      <c r="O18" s="148">
        <v>89.799000000000007</v>
      </c>
      <c r="P18" s="148">
        <v>52.71</v>
      </c>
      <c r="Q18" s="148">
        <v>247.12</v>
      </c>
      <c r="R18" s="148">
        <v>55.988999999999997</v>
      </c>
      <c r="S18" s="148">
        <v>55.948999999999998</v>
      </c>
      <c r="T18" s="148">
        <v>245.113</v>
      </c>
      <c r="U18" s="148">
        <v>59.170999999999999</v>
      </c>
      <c r="V18" s="148">
        <v>55.673999999999999</v>
      </c>
      <c r="W18" s="148">
        <v>253.023</v>
      </c>
      <c r="X18" s="148">
        <v>59.783999999999999</v>
      </c>
      <c r="Y18" s="148">
        <v>50.808</v>
      </c>
      <c r="Z18" s="148">
        <v>270.387</v>
      </c>
      <c r="AA18" s="10"/>
      <c r="AB18" s="148">
        <v>90.620999999999995</v>
      </c>
      <c r="AC18" s="148">
        <v>53.466999999999999</v>
      </c>
      <c r="AD18" s="148">
        <v>249.136</v>
      </c>
      <c r="AE18" s="148">
        <v>56.789000000000001</v>
      </c>
      <c r="AF18" s="148">
        <v>54.39</v>
      </c>
      <c r="AG18" s="148">
        <v>248.309</v>
      </c>
      <c r="AH18" s="148">
        <v>60.042000000000002</v>
      </c>
      <c r="AI18" s="148">
        <v>55.326000000000001</v>
      </c>
      <c r="AJ18" s="148">
        <v>255.03700000000001</v>
      </c>
      <c r="AK18" s="148">
        <v>59.472000000000001</v>
      </c>
      <c r="AL18" s="148">
        <v>51.555999999999997</v>
      </c>
      <c r="AM18" s="148">
        <v>272.35899999999998</v>
      </c>
      <c r="AN18" s="10"/>
    </row>
    <row r="19" spans="1:40" ht="14.4" x14ac:dyDescent="0.3">
      <c r="A19" s="147" t="s">
        <v>671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4.4" x14ac:dyDescent="0.3">
      <c r="A20" s="149" t="s">
        <v>672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4.4" x14ac:dyDescent="0.3">
      <c r="A21" s="147" t="s">
        <v>673</v>
      </c>
      <c r="B21" s="148">
        <v>35497.378941421099</v>
      </c>
      <c r="C21" s="148">
        <v>16897.598024019</v>
      </c>
      <c r="D21" s="148">
        <v>10345.125767829401</v>
      </c>
      <c r="E21" s="148">
        <v>12771.906850831499</v>
      </c>
      <c r="F21" s="148">
        <v>18359.981731581502</v>
      </c>
      <c r="G21" s="148">
        <v>11498.246130629401</v>
      </c>
      <c r="H21" s="148">
        <v>14043.526593176601</v>
      </c>
      <c r="I21" s="148">
        <v>13228.032376150401</v>
      </c>
      <c r="J21" s="148">
        <v>7493.0363180009799</v>
      </c>
      <c r="K21" s="148">
        <v>9507.2512997819194</v>
      </c>
      <c r="L21" s="148">
        <v>14742.8154079177</v>
      </c>
      <c r="M21" s="148">
        <v>9598.2468280514404</v>
      </c>
      <c r="N21" s="10"/>
      <c r="O21" s="148">
        <v>13341.849746609099</v>
      </c>
      <c r="P21" s="148">
        <v>12705.1556126469</v>
      </c>
      <c r="Q21" s="148">
        <v>6936.1794851255399</v>
      </c>
      <c r="R21" s="148">
        <v>9356.0685578140892</v>
      </c>
      <c r="S21" s="148">
        <v>13134.1164323866</v>
      </c>
      <c r="T21" s="148">
        <v>11962.6055452284</v>
      </c>
      <c r="U21" s="148">
        <v>20564.376909823</v>
      </c>
      <c r="V21" s="148">
        <v>17056.2862573403</v>
      </c>
      <c r="W21" s="148">
        <v>11032.389136774</v>
      </c>
      <c r="X21" s="148">
        <v>14231.9768939102</v>
      </c>
      <c r="Y21" s="148">
        <v>18835.514440200401</v>
      </c>
      <c r="Z21" s="148">
        <v>12503.7773619083</v>
      </c>
      <c r="AA21" s="10"/>
      <c r="AB21" s="148">
        <v>21670.080605522999</v>
      </c>
      <c r="AC21" s="148">
        <v>20863.919653015499</v>
      </c>
      <c r="AD21" s="148">
        <v>15300.3936441112</v>
      </c>
      <c r="AE21" s="148">
        <v>18240.766479555499</v>
      </c>
      <c r="AF21" s="148">
        <v>21601.500081567199</v>
      </c>
      <c r="AG21" s="148">
        <v>15542.4327971811</v>
      </c>
      <c r="AH21" s="148">
        <v>20835.333158321198</v>
      </c>
      <c r="AI21" s="148">
        <v>19869.060647961302</v>
      </c>
      <c r="AJ21" s="148">
        <v>13359.9037721119</v>
      </c>
      <c r="AK21" s="148">
        <v>19141.153064859202</v>
      </c>
      <c r="AL21" s="148">
        <v>22217.1375071396</v>
      </c>
      <c r="AM21" s="148">
        <v>17451.9298488165</v>
      </c>
      <c r="AN21" s="10"/>
    </row>
    <row r="22" spans="1:40" ht="14.4" x14ac:dyDescent="0.3">
      <c r="A22" s="147" t="s">
        <v>674</v>
      </c>
      <c r="B22" s="148">
        <v>-19376.657172724201</v>
      </c>
      <c r="C22" s="148">
        <v>-19376.657172724201</v>
      </c>
      <c r="D22" s="148">
        <v>-19376.657172724201</v>
      </c>
      <c r="E22" s="148">
        <v>-19376.657172724201</v>
      </c>
      <c r="F22" s="148">
        <v>-19376.657172724201</v>
      </c>
      <c r="G22" s="148">
        <v>-19376.657172724201</v>
      </c>
      <c r="H22" s="148">
        <v>-23420.508977724199</v>
      </c>
      <c r="I22" s="148">
        <v>-37413.911442724202</v>
      </c>
      <c r="J22" s="148">
        <v>-33844.324982724203</v>
      </c>
      <c r="K22" s="148">
        <v>-20274.685602724199</v>
      </c>
      <c r="L22" s="148">
        <v>-20116.287622724201</v>
      </c>
      <c r="M22" s="148">
        <v>-20770.781367724201</v>
      </c>
      <c r="N22" s="10"/>
      <c r="O22" s="148">
        <v>-87019.250620609804</v>
      </c>
      <c r="P22" s="148">
        <v>-22901.876244609801</v>
      </c>
      <c r="Q22" s="148">
        <v>-22587.723092609798</v>
      </c>
      <c r="R22" s="148">
        <v>-39728.350540609797</v>
      </c>
      <c r="S22" s="148">
        <v>-22530.468244609801</v>
      </c>
      <c r="T22" s="148">
        <v>-22340.276272609801</v>
      </c>
      <c r="U22" s="148">
        <v>-22405.476324609801</v>
      </c>
      <c r="V22" s="148">
        <v>-23233.4763326098</v>
      </c>
      <c r="W22" s="148">
        <v>-22517.913212609801</v>
      </c>
      <c r="X22" s="148">
        <v>-22517.913244609801</v>
      </c>
      <c r="Y22" s="148">
        <v>-32547.928224609801</v>
      </c>
      <c r="Z22" s="148">
        <v>-38644.4890246098</v>
      </c>
      <c r="AA22" s="10"/>
      <c r="AB22" s="148">
        <v>-22755.8575159065</v>
      </c>
      <c r="AC22" s="148">
        <v>-22755.8575159065</v>
      </c>
      <c r="AD22" s="148">
        <v>-22755.8575159065</v>
      </c>
      <c r="AE22" s="148">
        <v>-22755.8575159065</v>
      </c>
      <c r="AF22" s="148">
        <v>-22755.8575159065</v>
      </c>
      <c r="AG22" s="148">
        <v>-22755.8575159065</v>
      </c>
      <c r="AH22" s="148">
        <v>-22755.8575159065</v>
      </c>
      <c r="AI22" s="148">
        <v>-22755.8575159065</v>
      </c>
      <c r="AJ22" s="148">
        <v>-22755.8575159065</v>
      </c>
      <c r="AK22" s="148">
        <v>-22755.8575159065</v>
      </c>
      <c r="AL22" s="148">
        <v>-22755.8575159065</v>
      </c>
      <c r="AM22" s="148">
        <v>-22755.8575159065</v>
      </c>
      <c r="AN22" s="10"/>
    </row>
    <row r="23" spans="1:40" ht="14.4" x14ac:dyDescent="0.3">
      <c r="A23" s="147" t="s">
        <v>675</v>
      </c>
      <c r="B23" s="148">
        <v>16120.7217686968</v>
      </c>
      <c r="C23" s="148">
        <v>-2479.0591487051802</v>
      </c>
      <c r="D23" s="148">
        <v>-9031.5314048947694</v>
      </c>
      <c r="E23" s="148">
        <v>-6604.7503218926804</v>
      </c>
      <c r="F23" s="148">
        <v>-1016.67544114267</v>
      </c>
      <c r="G23" s="148">
        <v>-7878.41104209478</v>
      </c>
      <c r="H23" s="148">
        <v>-9376.9823845475294</v>
      </c>
      <c r="I23" s="148">
        <v>-24185.8790665737</v>
      </c>
      <c r="J23" s="148">
        <v>-26351.288664723201</v>
      </c>
      <c r="K23" s="148">
        <v>-10767.4343029422</v>
      </c>
      <c r="L23" s="148">
        <v>-5373.4722148064402</v>
      </c>
      <c r="M23" s="148">
        <v>-11172.534539672701</v>
      </c>
      <c r="N23" s="10"/>
      <c r="O23" s="148">
        <v>-73677.400874000698</v>
      </c>
      <c r="P23" s="148">
        <v>-10196.7206319628</v>
      </c>
      <c r="Q23" s="148">
        <v>-15651.5436074842</v>
      </c>
      <c r="R23" s="148">
        <v>-30372.281982795699</v>
      </c>
      <c r="S23" s="148">
        <v>-9396.3518122231599</v>
      </c>
      <c r="T23" s="148">
        <v>-10377.670727381301</v>
      </c>
      <c r="U23" s="148">
        <v>-1841.09941478673</v>
      </c>
      <c r="V23" s="148">
        <v>-6177.1900752695001</v>
      </c>
      <c r="W23" s="148">
        <v>-11485.5240758358</v>
      </c>
      <c r="X23" s="148">
        <v>-8285.9363506995596</v>
      </c>
      <c r="Y23" s="148">
        <v>-13712.4137844093</v>
      </c>
      <c r="Z23" s="148">
        <v>-26140.7116627014</v>
      </c>
      <c r="AA23" s="10"/>
      <c r="AB23" s="148">
        <v>-1085.7769103835501</v>
      </c>
      <c r="AC23" s="148">
        <v>-1891.9378628909999</v>
      </c>
      <c r="AD23" s="148">
        <v>-7455.4638717953103</v>
      </c>
      <c r="AE23" s="148">
        <v>-4515.0910363510202</v>
      </c>
      <c r="AF23" s="148">
        <v>-1154.35743433931</v>
      </c>
      <c r="AG23" s="148">
        <v>-7213.4247187254696</v>
      </c>
      <c r="AH23" s="148">
        <v>-1920.5243575852801</v>
      </c>
      <c r="AI23" s="148">
        <v>-2886.7968679452301</v>
      </c>
      <c r="AJ23" s="148">
        <v>-9395.9537437946001</v>
      </c>
      <c r="AK23" s="148">
        <v>-3614.7044510473702</v>
      </c>
      <c r="AL23" s="148">
        <v>-538.720008766977</v>
      </c>
      <c r="AM23" s="148">
        <v>-5303.9276670900699</v>
      </c>
      <c r="AN23" s="10"/>
    </row>
    <row r="24" spans="1:40" ht="14.4" x14ac:dyDescent="0.3">
      <c r="A24" s="147" t="s">
        <v>676</v>
      </c>
      <c r="B24" s="148">
        <v>2.1510767582928501</v>
      </c>
      <c r="C24" s="148">
        <v>2.1510767582928501</v>
      </c>
      <c r="D24" s="148">
        <v>2271.2697161952001</v>
      </c>
      <c r="E24" s="148">
        <v>2.1510767582928501</v>
      </c>
      <c r="F24" s="148">
        <v>2.1510767582928501</v>
      </c>
      <c r="G24" s="148">
        <v>2134.6537161952001</v>
      </c>
      <c r="H24" s="148">
        <v>2.1510767582928501</v>
      </c>
      <c r="I24" s="148">
        <v>2.1510767582928501</v>
      </c>
      <c r="J24" s="148">
        <v>2159.5599742648601</v>
      </c>
      <c r="K24" s="148">
        <v>2.1510767582928501</v>
      </c>
      <c r="L24" s="148">
        <v>2.1510767582928501</v>
      </c>
      <c r="M24" s="148">
        <v>2188.49446888494</v>
      </c>
      <c r="N24" s="10"/>
      <c r="O24" s="148">
        <v>2.1510767582928501</v>
      </c>
      <c r="P24" s="148">
        <v>2.1510767582928501</v>
      </c>
      <c r="Q24" s="148">
        <v>2609.74603517898</v>
      </c>
      <c r="R24" s="148">
        <v>2.1510767582928501</v>
      </c>
      <c r="S24" s="148">
        <v>2.1510767582928501</v>
      </c>
      <c r="T24" s="148">
        <v>2609.7460351781701</v>
      </c>
      <c r="U24" s="148">
        <v>2.1510767582928501</v>
      </c>
      <c r="V24" s="148">
        <v>2.1510767582928501</v>
      </c>
      <c r="W24" s="148">
        <v>2609.74603517787</v>
      </c>
      <c r="X24" s="148">
        <v>2.1510767582928501</v>
      </c>
      <c r="Y24" s="148">
        <v>2.1510767582928501</v>
      </c>
      <c r="Z24" s="148">
        <v>2609.7460351785098</v>
      </c>
      <c r="AA24" s="10"/>
      <c r="AB24" s="148">
        <v>2.1510767582928501</v>
      </c>
      <c r="AC24" s="148">
        <v>2.1510767582928501</v>
      </c>
      <c r="AD24" s="148">
        <v>1769.2402907473099</v>
      </c>
      <c r="AE24" s="148">
        <v>2.1510767582928501</v>
      </c>
      <c r="AF24" s="148">
        <v>2.1510767582928501</v>
      </c>
      <c r="AG24" s="148">
        <v>1769.2402907430101</v>
      </c>
      <c r="AH24" s="148">
        <v>2.1510767582928501</v>
      </c>
      <c r="AI24" s="148">
        <v>2.1510767582928501</v>
      </c>
      <c r="AJ24" s="148">
        <v>1769.2402907421699</v>
      </c>
      <c r="AK24" s="148">
        <v>2.1510767582928501</v>
      </c>
      <c r="AL24" s="148">
        <v>2.1510767582928501</v>
      </c>
      <c r="AM24" s="148">
        <v>1769.24029074447</v>
      </c>
      <c r="AN24" s="10"/>
    </row>
    <row r="25" spans="1:40" ht="14.4" x14ac:dyDescent="0.3">
      <c r="A25" s="147" t="s">
        <v>677</v>
      </c>
      <c r="B25" s="148">
        <v>16122.8728454551</v>
      </c>
      <c r="C25" s="148">
        <v>-2476.9080719468898</v>
      </c>
      <c r="D25" s="148">
        <v>-6760.2616886995602</v>
      </c>
      <c r="E25" s="148">
        <v>-6602.59924513439</v>
      </c>
      <c r="F25" s="148">
        <v>-1014.52436438438</v>
      </c>
      <c r="G25" s="148">
        <v>-5743.7573258995699</v>
      </c>
      <c r="H25" s="148">
        <v>-9374.8313077892308</v>
      </c>
      <c r="I25" s="148">
        <v>-24183.727989815401</v>
      </c>
      <c r="J25" s="148">
        <v>-24191.728690458302</v>
      </c>
      <c r="K25" s="148">
        <v>-10765.283226183899</v>
      </c>
      <c r="L25" s="148">
        <v>-5371.3211380481498</v>
      </c>
      <c r="M25" s="148">
        <v>-8984.0400707878198</v>
      </c>
      <c r="N25" s="10"/>
      <c r="O25" s="148">
        <v>-73675.249797242403</v>
      </c>
      <c r="P25" s="148">
        <v>-10194.5695552045</v>
      </c>
      <c r="Q25" s="148">
        <v>-13041.7975723052</v>
      </c>
      <c r="R25" s="148">
        <v>-30370.130906037401</v>
      </c>
      <c r="S25" s="148">
        <v>-9394.2007354648704</v>
      </c>
      <c r="T25" s="148">
        <v>-7767.9246922031698</v>
      </c>
      <c r="U25" s="148">
        <v>-1838.94833802844</v>
      </c>
      <c r="V25" s="148">
        <v>-6175.0389985112097</v>
      </c>
      <c r="W25" s="148">
        <v>-8875.7780406579295</v>
      </c>
      <c r="X25" s="148">
        <v>-8283.7852739412592</v>
      </c>
      <c r="Y25" s="148">
        <v>-13710.262707651</v>
      </c>
      <c r="Z25" s="148">
        <v>-23530.965627522899</v>
      </c>
      <c r="AA25" s="10"/>
      <c r="AB25" s="148">
        <v>-1083.6258336252499</v>
      </c>
      <c r="AC25" s="148">
        <v>-1889.7867861326999</v>
      </c>
      <c r="AD25" s="148">
        <v>-5686.2235810479997</v>
      </c>
      <c r="AE25" s="148">
        <v>-4512.9399595927298</v>
      </c>
      <c r="AF25" s="148">
        <v>-1152.20635758102</v>
      </c>
      <c r="AG25" s="148">
        <v>-5444.18442798245</v>
      </c>
      <c r="AH25" s="148">
        <v>-1918.3732808269899</v>
      </c>
      <c r="AI25" s="148">
        <v>-2884.6457911869402</v>
      </c>
      <c r="AJ25" s="148">
        <v>-7626.7134530524299</v>
      </c>
      <c r="AK25" s="148">
        <v>-3612.5533742890798</v>
      </c>
      <c r="AL25" s="148">
        <v>-536.56893200868399</v>
      </c>
      <c r="AM25" s="148">
        <v>-3534.6873763456001</v>
      </c>
      <c r="AN25" s="10"/>
    </row>
    <row r="26" spans="1:40" ht="14.4" x14ac:dyDescent="0.3">
      <c r="A26" s="147" t="s">
        <v>678</v>
      </c>
      <c r="B26" s="148">
        <v>-98117.296763301201</v>
      </c>
      <c r="C26" s="148">
        <v>-98117.296763301201</v>
      </c>
      <c r="D26" s="148">
        <v>-98117.296763301201</v>
      </c>
      <c r="E26" s="148">
        <v>-98117.296763301201</v>
      </c>
      <c r="F26" s="148">
        <v>-98117.296763301201</v>
      </c>
      <c r="G26" s="148">
        <v>-98117.296763301201</v>
      </c>
      <c r="H26" s="148">
        <v>-98117.296763301201</v>
      </c>
      <c r="I26" s="148">
        <v>-98117.296763301201</v>
      </c>
      <c r="J26" s="148">
        <v>-98117.296763299499</v>
      </c>
      <c r="K26" s="148">
        <v>-98117.296763299295</v>
      </c>
      <c r="L26" s="148">
        <v>-98117.296763299702</v>
      </c>
      <c r="M26" s="148">
        <v>-98117.296763299106</v>
      </c>
      <c r="N26" s="10"/>
      <c r="O26" s="148">
        <v>-217314.84499939499</v>
      </c>
      <c r="P26" s="148">
        <v>-217314.844999397</v>
      </c>
      <c r="Q26" s="148">
        <v>-217314.84499938399</v>
      </c>
      <c r="R26" s="148">
        <v>-217314.84499940401</v>
      </c>
      <c r="S26" s="148">
        <v>-217314.844999419</v>
      </c>
      <c r="T26" s="148">
        <v>-217314.84499947799</v>
      </c>
      <c r="U26" s="148">
        <v>-217314.844999497</v>
      </c>
      <c r="V26" s="148">
        <v>-217314.84499949199</v>
      </c>
      <c r="W26" s="148">
        <v>-217314.84499950599</v>
      </c>
      <c r="X26" s="148">
        <v>-217314.844999516</v>
      </c>
      <c r="Y26" s="148">
        <v>-217314.844999511</v>
      </c>
      <c r="Z26" s="148">
        <v>-217314.84499955</v>
      </c>
      <c r="AA26" s="10"/>
      <c r="AB26" s="148">
        <v>-46976.678931024297</v>
      </c>
      <c r="AC26" s="148">
        <v>-46976.678930994101</v>
      </c>
      <c r="AD26" s="148">
        <v>-46976.678930969101</v>
      </c>
      <c r="AE26" s="148">
        <v>-46976.678930833499</v>
      </c>
      <c r="AF26" s="148">
        <v>-46976.678930883703</v>
      </c>
      <c r="AG26" s="148">
        <v>-46976.678930841903</v>
      </c>
      <c r="AH26" s="148">
        <v>-46976.678930803901</v>
      </c>
      <c r="AI26" s="148">
        <v>-46976.678930811002</v>
      </c>
      <c r="AJ26" s="148">
        <v>-46976.678930703201</v>
      </c>
      <c r="AK26" s="148">
        <v>-46976.678930705297</v>
      </c>
      <c r="AL26" s="148">
        <v>-46976.678930734503</v>
      </c>
      <c r="AM26" s="148">
        <v>-46976.678930715199</v>
      </c>
      <c r="AN26" s="10"/>
    </row>
    <row r="27" spans="1:40" ht="14.4" x14ac:dyDescent="0.3">
      <c r="A27" s="147" t="s">
        <v>679</v>
      </c>
      <c r="B27" s="148">
        <v>-89346.110273695405</v>
      </c>
      <c r="C27" s="148">
        <v>-89346.110273695405</v>
      </c>
      <c r="D27" s="148">
        <v>-89346.1102736951</v>
      </c>
      <c r="E27" s="148">
        <v>-89346.1102736951</v>
      </c>
      <c r="F27" s="148">
        <v>-89346.1102736951</v>
      </c>
      <c r="G27" s="148">
        <v>-89346.110273694794</v>
      </c>
      <c r="H27" s="148">
        <v>-89346.110273694794</v>
      </c>
      <c r="I27" s="148">
        <v>-89346.110273694794</v>
      </c>
      <c r="J27" s="148">
        <v>-89346.110273692699</v>
      </c>
      <c r="K27" s="148">
        <v>-89346.110273692597</v>
      </c>
      <c r="L27" s="148">
        <v>-89346.110273693004</v>
      </c>
      <c r="M27" s="148">
        <v>-89346.110273692597</v>
      </c>
      <c r="N27" s="10"/>
      <c r="O27" s="148">
        <v>-206858.652244592</v>
      </c>
      <c r="P27" s="148">
        <v>-206858.65224459401</v>
      </c>
      <c r="Q27" s="148">
        <v>-206858.65224458801</v>
      </c>
      <c r="R27" s="148">
        <v>-206858.65224460899</v>
      </c>
      <c r="S27" s="148">
        <v>-206858.65224462299</v>
      </c>
      <c r="T27" s="148">
        <v>-206858.65224468999</v>
      </c>
      <c r="U27" s="148">
        <v>-206858.65224471001</v>
      </c>
      <c r="V27" s="148">
        <v>-206858.65224470399</v>
      </c>
      <c r="W27" s="148">
        <v>-206858.65224472599</v>
      </c>
      <c r="X27" s="148">
        <v>-206858.65224473501</v>
      </c>
      <c r="Y27" s="148">
        <v>-206858.652244731</v>
      </c>
      <c r="Z27" s="148">
        <v>-206858.65224477</v>
      </c>
      <c r="AA27" s="10"/>
      <c r="AB27" s="148">
        <v>-39882.509153994899</v>
      </c>
      <c r="AC27" s="148">
        <v>-39882.509153964696</v>
      </c>
      <c r="AD27" s="148">
        <v>-39882.509153937397</v>
      </c>
      <c r="AE27" s="148">
        <v>-39882.5091538017</v>
      </c>
      <c r="AF27" s="148">
        <v>-39882.509153851999</v>
      </c>
      <c r="AG27" s="148">
        <v>-39882.509153802399</v>
      </c>
      <c r="AH27" s="148">
        <v>-39882.509153764397</v>
      </c>
      <c r="AI27" s="148">
        <v>-39882.509153771498</v>
      </c>
      <c r="AJ27" s="148">
        <v>-39882.509153659303</v>
      </c>
      <c r="AK27" s="148">
        <v>-39882.509153661398</v>
      </c>
      <c r="AL27" s="148">
        <v>-39882.509153690597</v>
      </c>
      <c r="AM27" s="148">
        <v>-39882.509153671897</v>
      </c>
      <c r="AN27" s="10"/>
    </row>
    <row r="28" spans="1:40" ht="14.4" x14ac:dyDescent="0.3">
      <c r="A28" s="147" t="s">
        <v>680</v>
      </c>
      <c r="B28" s="148">
        <v>0</v>
      </c>
      <c r="C28" s="148">
        <v>0</v>
      </c>
      <c r="D28" s="148">
        <v>-24529.3241908253</v>
      </c>
      <c r="E28" s="148">
        <v>0</v>
      </c>
      <c r="F28" s="148">
        <v>0</v>
      </c>
      <c r="G28" s="148">
        <v>-24529.3241908253</v>
      </c>
      <c r="H28" s="148">
        <v>0</v>
      </c>
      <c r="I28" s="148">
        <v>0</v>
      </c>
      <c r="J28" s="148">
        <v>-24529.324190824798</v>
      </c>
      <c r="K28" s="148">
        <v>0</v>
      </c>
      <c r="L28" s="148">
        <v>0</v>
      </c>
      <c r="M28" s="148">
        <v>-24529.3241908247</v>
      </c>
      <c r="N28" s="10"/>
      <c r="O28" s="148">
        <v>0</v>
      </c>
      <c r="P28" s="148">
        <v>0</v>
      </c>
      <c r="Q28" s="148">
        <v>-54328.711249846099</v>
      </c>
      <c r="R28" s="148">
        <v>0</v>
      </c>
      <c r="S28" s="148">
        <v>0</v>
      </c>
      <c r="T28" s="148">
        <v>-54328.711249869499</v>
      </c>
      <c r="U28" s="148">
        <v>0</v>
      </c>
      <c r="V28" s="148">
        <v>0</v>
      </c>
      <c r="W28" s="148">
        <v>-54328.7112498766</v>
      </c>
      <c r="X28" s="148">
        <v>0</v>
      </c>
      <c r="Y28" s="148">
        <v>0</v>
      </c>
      <c r="Z28" s="148">
        <v>-54328.711249887601</v>
      </c>
      <c r="AA28" s="10"/>
      <c r="AB28" s="148">
        <v>0</v>
      </c>
      <c r="AC28" s="148">
        <v>0</v>
      </c>
      <c r="AD28" s="148">
        <v>-11744.169732742201</v>
      </c>
      <c r="AE28" s="148">
        <v>0</v>
      </c>
      <c r="AF28" s="148">
        <v>0</v>
      </c>
      <c r="AG28" s="148">
        <v>-11744.169732710399</v>
      </c>
      <c r="AH28" s="148">
        <v>0</v>
      </c>
      <c r="AI28" s="148">
        <v>0</v>
      </c>
      <c r="AJ28" s="148">
        <v>-11744.1697326758</v>
      </c>
      <c r="AK28" s="148">
        <v>0</v>
      </c>
      <c r="AL28" s="148">
        <v>0</v>
      </c>
      <c r="AM28" s="148">
        <v>-11744.1697326788</v>
      </c>
      <c r="AN28" s="10"/>
    </row>
    <row r="29" spans="1:40" ht="14.4" x14ac:dyDescent="0.3">
      <c r="A29" s="147" t="s">
        <v>681</v>
      </c>
      <c r="B29" s="148">
        <v>0</v>
      </c>
      <c r="C29" s="148">
        <v>0</v>
      </c>
      <c r="D29" s="148">
        <v>-22336.527568423699</v>
      </c>
      <c r="E29" s="148">
        <v>0</v>
      </c>
      <c r="F29" s="148">
        <v>0</v>
      </c>
      <c r="G29" s="148">
        <v>-22336.527568423699</v>
      </c>
      <c r="H29" s="148">
        <v>0</v>
      </c>
      <c r="I29" s="148">
        <v>0</v>
      </c>
      <c r="J29" s="148">
        <v>-22336.527568423098</v>
      </c>
      <c r="K29" s="148">
        <v>0</v>
      </c>
      <c r="L29" s="148">
        <v>0</v>
      </c>
      <c r="M29" s="148">
        <v>-22336.527568423098</v>
      </c>
      <c r="N29" s="10"/>
      <c r="O29" s="148">
        <v>0</v>
      </c>
      <c r="P29" s="148">
        <v>0</v>
      </c>
      <c r="Q29" s="148">
        <v>-51714.663061147097</v>
      </c>
      <c r="R29" s="148">
        <v>0</v>
      </c>
      <c r="S29" s="148">
        <v>0</v>
      </c>
      <c r="T29" s="148">
        <v>-51714.6630611726</v>
      </c>
      <c r="U29" s="148">
        <v>0</v>
      </c>
      <c r="V29" s="148">
        <v>0</v>
      </c>
      <c r="W29" s="148">
        <v>-51714.663061181498</v>
      </c>
      <c r="X29" s="148">
        <v>0</v>
      </c>
      <c r="Y29" s="148">
        <v>0</v>
      </c>
      <c r="Z29" s="148">
        <v>-51714.663061192601</v>
      </c>
      <c r="AA29" s="10"/>
      <c r="AB29" s="148">
        <v>0</v>
      </c>
      <c r="AC29" s="148">
        <v>0</v>
      </c>
      <c r="AD29" s="148">
        <v>-9970.6272884843602</v>
      </c>
      <c r="AE29" s="148">
        <v>0</v>
      </c>
      <c r="AF29" s="148">
        <v>0</v>
      </c>
      <c r="AG29" s="148">
        <v>-9970.6272884506106</v>
      </c>
      <c r="AH29" s="148">
        <v>0</v>
      </c>
      <c r="AI29" s="148">
        <v>0</v>
      </c>
      <c r="AJ29" s="148">
        <v>-9970.6272884148293</v>
      </c>
      <c r="AK29" s="148">
        <v>0</v>
      </c>
      <c r="AL29" s="148">
        <v>0</v>
      </c>
      <c r="AM29" s="148">
        <v>-9970.6272884179798</v>
      </c>
      <c r="AN29" s="10"/>
    </row>
    <row r="30" spans="1:40" ht="14.4" x14ac:dyDescent="0.3">
      <c r="A30" s="146" t="s">
        <v>682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14.4" x14ac:dyDescent="0.3">
      <c r="A31" s="147" t="s">
        <v>683</v>
      </c>
      <c r="B31" s="148">
        <v>2072.7091253333301</v>
      </c>
      <c r="C31" s="148">
        <v>1303.0509868333299</v>
      </c>
      <c r="D31" s="148">
        <v>-1239.92276410358</v>
      </c>
      <c r="E31" s="148">
        <v>476.20033533333299</v>
      </c>
      <c r="F31" s="148">
        <v>1169.51988733333</v>
      </c>
      <c r="G31" s="148">
        <v>-1051.9603426035801</v>
      </c>
      <c r="H31" s="148">
        <v>1336.4813458921701</v>
      </c>
      <c r="I31" s="148">
        <v>1330.6924158526899</v>
      </c>
      <c r="J31" s="148">
        <v>-1433.0161217239499</v>
      </c>
      <c r="K31" s="148">
        <v>406.29807281892499</v>
      </c>
      <c r="L31" s="148">
        <v>889.45872924453602</v>
      </c>
      <c r="M31" s="148">
        <v>-1041.10802920674</v>
      </c>
      <c r="N31" s="10"/>
      <c r="O31" s="148">
        <v>1627.5737325395701</v>
      </c>
      <c r="P31" s="148">
        <v>1378.9825877928099</v>
      </c>
      <c r="Q31" s="148">
        <v>-1907.9708926252299</v>
      </c>
      <c r="R31" s="148">
        <v>406.37271533527303</v>
      </c>
      <c r="S31" s="148">
        <v>782.86808101829797</v>
      </c>
      <c r="T31" s="148">
        <v>-1836.44529395622</v>
      </c>
      <c r="U31" s="148">
        <v>1272.8521116780501</v>
      </c>
      <c r="V31" s="148">
        <v>1334.6935646245099</v>
      </c>
      <c r="W31" s="148">
        <v>-2184.2646073514302</v>
      </c>
      <c r="X31" s="148">
        <v>436.06175193732099</v>
      </c>
      <c r="Y31" s="148">
        <v>858.917324877243</v>
      </c>
      <c r="Z31" s="148">
        <v>-1457.62545556912</v>
      </c>
      <c r="AA31" s="10"/>
      <c r="AB31" s="148">
        <v>1773.1576455085301</v>
      </c>
      <c r="AC31" s="148">
        <v>1529.6060217764</v>
      </c>
      <c r="AD31" s="148">
        <v>-989.67016311442796</v>
      </c>
      <c r="AE31" s="148">
        <v>461.75386444340501</v>
      </c>
      <c r="AF31" s="148">
        <v>779.25306253484405</v>
      </c>
      <c r="AG31" s="148">
        <v>-1090.07435835513</v>
      </c>
      <c r="AH31" s="148">
        <v>1247.64486357482</v>
      </c>
      <c r="AI31" s="148">
        <v>1436.6840693362701</v>
      </c>
      <c r="AJ31" s="148">
        <v>-1155.0128337532001</v>
      </c>
      <c r="AK31" s="148">
        <v>385.32397652404399</v>
      </c>
      <c r="AL31" s="148">
        <v>788.15875591183101</v>
      </c>
      <c r="AM31" s="148">
        <v>-745.33255547666704</v>
      </c>
      <c r="AN31" s="10"/>
    </row>
    <row r="32" spans="1:40" ht="14.4" x14ac:dyDescent="0.3">
      <c r="A32" s="147" t="s">
        <v>684</v>
      </c>
      <c r="B32" s="148">
        <v>2.1510767582928501</v>
      </c>
      <c r="C32" s="148">
        <v>2.1510767582928501</v>
      </c>
      <c r="D32" s="148">
        <v>2271.26971619506</v>
      </c>
      <c r="E32" s="148">
        <v>2.1510767582928501</v>
      </c>
      <c r="F32" s="148">
        <v>2.1510767582928501</v>
      </c>
      <c r="G32" s="148">
        <v>2134.65371619506</v>
      </c>
      <c r="H32" s="148">
        <v>2.1510767582928501</v>
      </c>
      <c r="I32" s="148">
        <v>2.1510767582928501</v>
      </c>
      <c r="J32" s="148">
        <v>2159.55997426466</v>
      </c>
      <c r="K32" s="148">
        <v>2.1510767582928501</v>
      </c>
      <c r="L32" s="148">
        <v>2.1510767582928501</v>
      </c>
      <c r="M32" s="148">
        <v>2188.49446888491</v>
      </c>
      <c r="N32" s="10"/>
      <c r="O32" s="148">
        <v>2.1510767582928501</v>
      </c>
      <c r="P32" s="148">
        <v>2.1510767582928501</v>
      </c>
      <c r="Q32" s="148">
        <v>2609.7460351784398</v>
      </c>
      <c r="R32" s="148">
        <v>2.1510767582928501</v>
      </c>
      <c r="S32" s="148">
        <v>2.1510767582928501</v>
      </c>
      <c r="T32" s="148">
        <v>2609.7460351796099</v>
      </c>
      <c r="U32" s="148">
        <v>2.1510767582928501</v>
      </c>
      <c r="V32" s="148">
        <v>2.1510767582928501</v>
      </c>
      <c r="W32" s="148">
        <v>2609.74603517996</v>
      </c>
      <c r="X32" s="148">
        <v>2.1510767582928501</v>
      </c>
      <c r="Y32" s="148">
        <v>2.1510767582928501</v>
      </c>
      <c r="Z32" s="148">
        <v>2609.7460351805098</v>
      </c>
      <c r="AA32" s="10"/>
      <c r="AB32" s="148">
        <v>2.1510767582928501</v>
      </c>
      <c r="AC32" s="148">
        <v>2.1510767582928501</v>
      </c>
      <c r="AD32" s="148">
        <v>1769.2402907432199</v>
      </c>
      <c r="AE32" s="148">
        <v>2.1510767582928501</v>
      </c>
      <c r="AF32" s="148">
        <v>2.1510767582928501</v>
      </c>
      <c r="AG32" s="148">
        <v>1769.2402907416299</v>
      </c>
      <c r="AH32" s="148">
        <v>2.1510767582928501</v>
      </c>
      <c r="AI32" s="148">
        <v>2.1510767582928501</v>
      </c>
      <c r="AJ32" s="148">
        <v>1769.24029073989</v>
      </c>
      <c r="AK32" s="148">
        <v>2.1510767582928501</v>
      </c>
      <c r="AL32" s="148">
        <v>2.1510767582928501</v>
      </c>
      <c r="AM32" s="148">
        <v>1769.2402907400401</v>
      </c>
      <c r="AN32" s="10"/>
    </row>
    <row r="33" spans="1:40" ht="14.4" x14ac:dyDescent="0.3">
      <c r="A33" s="147" t="s">
        <v>685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4.4" x14ac:dyDescent="0.3">
      <c r="A34" s="146" t="s">
        <v>686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4.4" x14ac:dyDescent="0.3">
      <c r="A35" s="147" t="s">
        <v>687</v>
      </c>
      <c r="B35" s="148">
        <v>42047.899449999997</v>
      </c>
      <c r="C35" s="148">
        <v>26637.059309999899</v>
      </c>
      <c r="D35" s="148">
        <v>23758.578990000002</v>
      </c>
      <c r="E35" s="148">
        <v>10102.8509399999</v>
      </c>
      <c r="F35" s="148">
        <v>23986.957549999999</v>
      </c>
      <c r="G35" s="148">
        <v>27401.692070000001</v>
      </c>
      <c r="H35" s="148">
        <v>27302.033251176701</v>
      </c>
      <c r="I35" s="148">
        <v>27190.034650387199</v>
      </c>
      <c r="J35" s="148">
        <v>19829.9136875931</v>
      </c>
      <c r="K35" s="148">
        <v>8691.5457897118395</v>
      </c>
      <c r="L35" s="148">
        <v>18365.686918224001</v>
      </c>
      <c r="M35" s="148">
        <v>27670.000537933902</v>
      </c>
      <c r="N35" s="10"/>
      <c r="O35" s="148">
        <v>33095.008984124703</v>
      </c>
      <c r="P35" s="148">
        <v>28160.275089189599</v>
      </c>
      <c r="Q35" s="148">
        <v>20211.859003672798</v>
      </c>
      <c r="R35" s="148">
        <v>8704.7986400387999</v>
      </c>
      <c r="S35" s="148">
        <v>16234.745953699299</v>
      </c>
      <c r="T35" s="148">
        <v>21644.3779770367</v>
      </c>
      <c r="U35" s="148">
        <v>26031.204566894401</v>
      </c>
      <c r="V35" s="148">
        <v>27271.530625823601</v>
      </c>
      <c r="W35" s="148">
        <v>14680.0817091266</v>
      </c>
      <c r="X35" s="148">
        <v>9294.78437207975</v>
      </c>
      <c r="Y35" s="148">
        <v>17760.871830878201</v>
      </c>
      <c r="Z35" s="148">
        <v>29195.500744785699</v>
      </c>
      <c r="AA35" s="10"/>
      <c r="AB35" s="148">
        <v>36005.865243503998</v>
      </c>
      <c r="AC35" s="148">
        <v>31171.986768861301</v>
      </c>
      <c r="AD35" s="148">
        <v>21447.317698926501</v>
      </c>
      <c r="AE35" s="148">
        <v>9811.62162220143</v>
      </c>
      <c r="AF35" s="148">
        <v>16164.004584030199</v>
      </c>
      <c r="AG35" s="148">
        <v>19440.060794026402</v>
      </c>
      <c r="AH35" s="148">
        <v>25526.188604829698</v>
      </c>
      <c r="AI35" s="148">
        <v>29311.688720058701</v>
      </c>
      <c r="AJ35" s="148">
        <v>18134.563286048</v>
      </c>
      <c r="AK35" s="148">
        <v>8280.34086381421</v>
      </c>
      <c r="AL35" s="148">
        <v>16344.952451569899</v>
      </c>
      <c r="AM35" s="148">
        <v>26310.846851624799</v>
      </c>
      <c r="AN35" s="10"/>
    </row>
    <row r="36" spans="1:40" ht="14.4" x14ac:dyDescent="0.3">
      <c r="A36" s="147" t="s">
        <v>688</v>
      </c>
      <c r="B36" s="148">
        <v>0</v>
      </c>
      <c r="C36" s="148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0"/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0"/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0"/>
    </row>
    <row r="37" spans="1:40" ht="14.4" x14ac:dyDescent="0.3">
      <c r="A37" s="147" t="s">
        <v>689</v>
      </c>
      <c r="B37" s="148">
        <v>39.616390000000003</v>
      </c>
      <c r="C37" s="148">
        <v>57.293759999999999</v>
      </c>
      <c r="D37" s="148">
        <v>286.21185000000003</v>
      </c>
      <c r="E37" s="148">
        <v>54.489100000000001</v>
      </c>
      <c r="F37" s="148">
        <v>36.773529999999901</v>
      </c>
      <c r="G37" s="148">
        <v>402.34719999999999</v>
      </c>
      <c r="H37" s="148">
        <v>60.927</v>
      </c>
      <c r="I37" s="148">
        <v>57.146999999999998</v>
      </c>
      <c r="J37" s="148">
        <v>353.01</v>
      </c>
      <c r="K37" s="148">
        <v>67.748999999999995</v>
      </c>
      <c r="L37" s="148">
        <v>56.820999999999898</v>
      </c>
      <c r="M37" s="148">
        <v>351.08499999999998</v>
      </c>
      <c r="N37" s="10"/>
      <c r="O37" s="148">
        <v>89.799000000000007</v>
      </c>
      <c r="P37" s="148">
        <v>52.71</v>
      </c>
      <c r="Q37" s="148">
        <v>247.12</v>
      </c>
      <c r="R37" s="148">
        <v>55.988999999999997</v>
      </c>
      <c r="S37" s="148">
        <v>55.948999999999998</v>
      </c>
      <c r="T37" s="148">
        <v>245.113</v>
      </c>
      <c r="U37" s="148">
        <v>59.170999999999999</v>
      </c>
      <c r="V37" s="148">
        <v>55.673999999999999</v>
      </c>
      <c r="W37" s="148">
        <v>253.023</v>
      </c>
      <c r="X37" s="148">
        <v>59.783999999999999</v>
      </c>
      <c r="Y37" s="148">
        <v>50.808</v>
      </c>
      <c r="Z37" s="148">
        <v>270.387</v>
      </c>
      <c r="AA37" s="10"/>
      <c r="AB37" s="148">
        <v>90.620999999999995</v>
      </c>
      <c r="AC37" s="148">
        <v>53.466999999999999</v>
      </c>
      <c r="AD37" s="148">
        <v>249.136</v>
      </c>
      <c r="AE37" s="148">
        <v>56.789000000000001</v>
      </c>
      <c r="AF37" s="148">
        <v>54.39</v>
      </c>
      <c r="AG37" s="148">
        <v>248.309</v>
      </c>
      <c r="AH37" s="148">
        <v>60.042000000000002</v>
      </c>
      <c r="AI37" s="148">
        <v>55.326000000000001</v>
      </c>
      <c r="AJ37" s="148">
        <v>255.03700000000001</v>
      </c>
      <c r="AK37" s="148">
        <v>59.472000000000001</v>
      </c>
      <c r="AL37" s="148">
        <v>51.555999999999997</v>
      </c>
      <c r="AM37" s="148">
        <v>272.35899999999998</v>
      </c>
      <c r="AN37" s="10"/>
    </row>
    <row r="38" spans="1:40" ht="14.4" x14ac:dyDescent="0.3">
      <c r="A38" s="147" t="s">
        <v>690</v>
      </c>
      <c r="B38" s="148">
        <v>0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0"/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0"/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0"/>
    </row>
    <row r="39" spans="1:40" ht="14.4" x14ac:dyDescent="0.3">
      <c r="A39" s="147" t="s">
        <v>691</v>
      </c>
      <c r="B39" s="148">
        <v>0</v>
      </c>
      <c r="C39" s="148">
        <v>0</v>
      </c>
      <c r="D39" s="148">
        <v>17133.437999999998</v>
      </c>
      <c r="E39" s="148">
        <v>0</v>
      </c>
      <c r="F39" s="148">
        <v>0</v>
      </c>
      <c r="G39" s="148">
        <v>16911.474999999999</v>
      </c>
      <c r="H39" s="148">
        <v>0</v>
      </c>
      <c r="I39" s="148">
        <v>0</v>
      </c>
      <c r="J39" s="148">
        <v>-83341.237330000004</v>
      </c>
      <c r="K39" s="148">
        <v>0</v>
      </c>
      <c r="L39" s="148">
        <v>0</v>
      </c>
      <c r="M39" s="148">
        <v>-16432.108110000001</v>
      </c>
      <c r="N39" s="10"/>
      <c r="O39" s="148">
        <v>0</v>
      </c>
      <c r="P39" s="148">
        <v>0</v>
      </c>
      <c r="Q39" s="148">
        <v>-681.36558249999996</v>
      </c>
      <c r="R39" s="148">
        <v>0</v>
      </c>
      <c r="S39" s="148">
        <v>0</v>
      </c>
      <c r="T39" s="148">
        <v>-681.36558249999996</v>
      </c>
      <c r="U39" s="148">
        <v>0</v>
      </c>
      <c r="V39" s="148">
        <v>0</v>
      </c>
      <c r="W39" s="148">
        <v>-681.36558249999996</v>
      </c>
      <c r="X39" s="148">
        <v>0</v>
      </c>
      <c r="Y39" s="148">
        <v>0</v>
      </c>
      <c r="Z39" s="148">
        <v>-681.36558249999996</v>
      </c>
      <c r="AA39" s="10"/>
      <c r="AB39" s="148">
        <v>0</v>
      </c>
      <c r="AC39" s="148">
        <v>0</v>
      </c>
      <c r="AD39" s="148">
        <v>1283.4600124999999</v>
      </c>
      <c r="AE39" s="148">
        <v>0</v>
      </c>
      <c r="AF39" s="148">
        <v>0</v>
      </c>
      <c r="AG39" s="148">
        <v>1283.4600124999999</v>
      </c>
      <c r="AH39" s="148">
        <v>0</v>
      </c>
      <c r="AI39" s="148">
        <v>0</v>
      </c>
      <c r="AJ39" s="148">
        <v>1283.4600124999999</v>
      </c>
      <c r="AK39" s="148">
        <v>0</v>
      </c>
      <c r="AL39" s="148">
        <v>0</v>
      </c>
      <c r="AM39" s="148">
        <v>1283.4600124999999</v>
      </c>
      <c r="AN39" s="10"/>
    </row>
    <row r="40" spans="1:40" ht="14.4" x14ac:dyDescent="0.3">
      <c r="A40" s="147" t="s">
        <v>692</v>
      </c>
      <c r="B40" s="148">
        <v>0</v>
      </c>
      <c r="C40" s="148">
        <v>0</v>
      </c>
      <c r="D40" s="148">
        <v>-24529.3241908253</v>
      </c>
      <c r="E40" s="148">
        <v>0</v>
      </c>
      <c r="F40" s="148">
        <v>0</v>
      </c>
      <c r="G40" s="148">
        <v>-24529.3241908253</v>
      </c>
      <c r="H40" s="148">
        <v>0</v>
      </c>
      <c r="I40" s="148">
        <v>0</v>
      </c>
      <c r="J40" s="148">
        <v>-24529.324190824798</v>
      </c>
      <c r="K40" s="148">
        <v>0</v>
      </c>
      <c r="L40" s="148">
        <v>0</v>
      </c>
      <c r="M40" s="148">
        <v>-24529.3241908247</v>
      </c>
      <c r="N40" s="10"/>
      <c r="O40" s="148">
        <v>0</v>
      </c>
      <c r="P40" s="148">
        <v>0</v>
      </c>
      <c r="Q40" s="148">
        <v>-54328.711249846099</v>
      </c>
      <c r="R40" s="148">
        <v>0</v>
      </c>
      <c r="S40" s="148">
        <v>0</v>
      </c>
      <c r="T40" s="148">
        <v>-54328.711249869499</v>
      </c>
      <c r="U40" s="148">
        <v>0</v>
      </c>
      <c r="V40" s="148">
        <v>0</v>
      </c>
      <c r="W40" s="148">
        <v>-54328.7112498766</v>
      </c>
      <c r="X40" s="148">
        <v>0</v>
      </c>
      <c r="Y40" s="148">
        <v>0</v>
      </c>
      <c r="Z40" s="148">
        <v>-54328.711249887601</v>
      </c>
      <c r="AA40" s="10"/>
      <c r="AB40" s="148">
        <v>0</v>
      </c>
      <c r="AC40" s="148">
        <v>0</v>
      </c>
      <c r="AD40" s="148">
        <v>-11744.169732742201</v>
      </c>
      <c r="AE40" s="148">
        <v>0</v>
      </c>
      <c r="AF40" s="148">
        <v>0</v>
      </c>
      <c r="AG40" s="148">
        <v>-11744.169732710399</v>
      </c>
      <c r="AH40" s="148">
        <v>0</v>
      </c>
      <c r="AI40" s="148">
        <v>0</v>
      </c>
      <c r="AJ40" s="148">
        <v>-11744.1697326758</v>
      </c>
      <c r="AK40" s="148">
        <v>0</v>
      </c>
      <c r="AL40" s="148">
        <v>0</v>
      </c>
      <c r="AM40" s="148">
        <v>-11744.1697326788</v>
      </c>
      <c r="AN40" s="10"/>
    </row>
    <row r="41" spans="1:40" ht="14.4" x14ac:dyDescent="0.3">
      <c r="A41" s="147" t="s">
        <v>693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4.4" x14ac:dyDescent="0.3">
      <c r="A42" s="147" t="s">
        <v>694</v>
      </c>
      <c r="B42" s="148">
        <v>-2072.7091253333301</v>
      </c>
      <c r="C42" s="148">
        <v>-1303.0509868333299</v>
      </c>
      <c r="D42" s="148">
        <v>1239.92276410358</v>
      </c>
      <c r="E42" s="148">
        <v>-476.20033533333299</v>
      </c>
      <c r="F42" s="148">
        <v>-1169.51988733333</v>
      </c>
      <c r="G42" s="148">
        <v>1051.9603426035801</v>
      </c>
      <c r="H42" s="148">
        <v>-1336.4813458921701</v>
      </c>
      <c r="I42" s="148">
        <v>-1330.6924158526899</v>
      </c>
      <c r="J42" s="148">
        <v>1433.0161217239499</v>
      </c>
      <c r="K42" s="148">
        <v>-406.29807281892499</v>
      </c>
      <c r="L42" s="148">
        <v>-889.45872924453602</v>
      </c>
      <c r="M42" s="148">
        <v>1041.10802920674</v>
      </c>
      <c r="N42" s="10"/>
      <c r="O42" s="148">
        <v>-1627.5737325395701</v>
      </c>
      <c r="P42" s="148">
        <v>-1378.9825877928099</v>
      </c>
      <c r="Q42" s="148">
        <v>1907.9708926252299</v>
      </c>
      <c r="R42" s="148">
        <v>-406.37271533527303</v>
      </c>
      <c r="S42" s="148">
        <v>-782.86808101829797</v>
      </c>
      <c r="T42" s="148">
        <v>1836.44529395622</v>
      </c>
      <c r="U42" s="148">
        <v>-1272.8521116780501</v>
      </c>
      <c r="V42" s="148">
        <v>-1334.6935646245099</v>
      </c>
      <c r="W42" s="148">
        <v>2184.2646073514302</v>
      </c>
      <c r="X42" s="148">
        <v>-436.06175193732099</v>
      </c>
      <c r="Y42" s="148">
        <v>-858.917324877243</v>
      </c>
      <c r="Z42" s="148">
        <v>1457.62545556912</v>
      </c>
      <c r="AA42" s="10"/>
      <c r="AB42" s="148">
        <v>-1773.1576455085301</v>
      </c>
      <c r="AC42" s="148">
        <v>-1529.6060217764</v>
      </c>
      <c r="AD42" s="148">
        <v>989.67016311442796</v>
      </c>
      <c r="AE42" s="148">
        <v>-461.75386444340501</v>
      </c>
      <c r="AF42" s="148">
        <v>-779.25306253484405</v>
      </c>
      <c r="AG42" s="148">
        <v>1090.07435835513</v>
      </c>
      <c r="AH42" s="148">
        <v>-1247.64486357482</v>
      </c>
      <c r="AI42" s="148">
        <v>-1436.6840693362701</v>
      </c>
      <c r="AJ42" s="148">
        <v>1155.0128337532001</v>
      </c>
      <c r="AK42" s="148">
        <v>-385.32397652404399</v>
      </c>
      <c r="AL42" s="148">
        <v>-788.15875591183101</v>
      </c>
      <c r="AM42" s="148">
        <v>745.33255547666704</v>
      </c>
      <c r="AN42" s="10"/>
    </row>
    <row r="43" spans="1:40" ht="14.4" x14ac:dyDescent="0.3">
      <c r="A43" s="147" t="s">
        <v>695</v>
      </c>
      <c r="B43" s="148">
        <v>40014.806714666702</v>
      </c>
      <c r="C43" s="148">
        <v>25391.3020831666</v>
      </c>
      <c r="D43" s="148">
        <v>17888.827413278199</v>
      </c>
      <c r="E43" s="148">
        <v>9681.1397046666607</v>
      </c>
      <c r="F43" s="148">
        <v>22854.2111926666</v>
      </c>
      <c r="G43" s="148">
        <v>21238.150421778199</v>
      </c>
      <c r="H43" s="148">
        <v>26026.478905284599</v>
      </c>
      <c r="I43" s="148">
        <v>25916.4892345345</v>
      </c>
      <c r="J43" s="148">
        <v>-86254.621711507702</v>
      </c>
      <c r="K43" s="148">
        <v>8352.9967168929106</v>
      </c>
      <c r="L43" s="148">
        <v>17533.049188979501</v>
      </c>
      <c r="M43" s="148">
        <v>-11899.2387336841</v>
      </c>
      <c r="N43" s="10"/>
      <c r="O43" s="148">
        <v>31557.2342515852</v>
      </c>
      <c r="P43" s="148">
        <v>26834.002501396699</v>
      </c>
      <c r="Q43" s="148">
        <v>-32643.126936048</v>
      </c>
      <c r="R43" s="148">
        <v>8354.4149247035293</v>
      </c>
      <c r="S43" s="148">
        <v>15507.826872681</v>
      </c>
      <c r="T43" s="148">
        <v>-31284.140561376498</v>
      </c>
      <c r="U43" s="148">
        <v>24817.523455216298</v>
      </c>
      <c r="V43" s="148">
        <v>25992.5110611991</v>
      </c>
      <c r="W43" s="148">
        <v>-37892.707515898503</v>
      </c>
      <c r="X43" s="148">
        <v>8918.5066201424306</v>
      </c>
      <c r="Y43" s="148">
        <v>16952.762506000901</v>
      </c>
      <c r="Z43" s="148">
        <v>-24086.563632032699</v>
      </c>
      <c r="AA43" s="10"/>
      <c r="AB43" s="148">
        <v>34323.328597995504</v>
      </c>
      <c r="AC43" s="148">
        <v>29695.847747084899</v>
      </c>
      <c r="AD43" s="148">
        <v>12225.414141798599</v>
      </c>
      <c r="AE43" s="148">
        <v>9406.6567577580299</v>
      </c>
      <c r="AF43" s="148">
        <v>15439.141521495299</v>
      </c>
      <c r="AG43" s="148">
        <v>10317.734432171001</v>
      </c>
      <c r="AH43" s="148">
        <v>24338.585741254901</v>
      </c>
      <c r="AI43" s="148">
        <v>27930.330650722401</v>
      </c>
      <c r="AJ43" s="148">
        <v>9083.9033996254402</v>
      </c>
      <c r="AK43" s="148">
        <v>7954.4888872901702</v>
      </c>
      <c r="AL43" s="148">
        <v>15608.3496956581</v>
      </c>
      <c r="AM43" s="148">
        <v>16867.828686922599</v>
      </c>
      <c r="AN43" s="10"/>
    </row>
    <row r="44" spans="1:40" s="150" customFormat="1" ht="14.4" x14ac:dyDescent="0.3">
      <c r="A44" s="147" t="s">
        <v>696</v>
      </c>
      <c r="B44" s="148">
        <v>0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0"/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0"/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0"/>
    </row>
    <row r="45" spans="1:40" ht="14.4" x14ac:dyDescent="0.3">
      <c r="A45" s="147" t="s">
        <v>697</v>
      </c>
      <c r="B45" s="148">
        <v>0</v>
      </c>
      <c r="C45" s="148">
        <v>0</v>
      </c>
      <c r="D45" s="148">
        <v>-35091.773999999998</v>
      </c>
      <c r="E45" s="148">
        <v>0</v>
      </c>
      <c r="F45" s="148">
        <v>0</v>
      </c>
      <c r="G45" s="148">
        <v>-35091.773999999998</v>
      </c>
      <c r="H45" s="148">
        <v>0</v>
      </c>
      <c r="I45" s="148">
        <v>0</v>
      </c>
      <c r="J45" s="148">
        <v>-17374.145348093101</v>
      </c>
      <c r="K45" s="148">
        <v>0</v>
      </c>
      <c r="L45" s="148">
        <v>0</v>
      </c>
      <c r="M45" s="148">
        <v>-29185.8977825654</v>
      </c>
      <c r="N45" s="10"/>
      <c r="O45" s="148">
        <v>0</v>
      </c>
      <c r="P45" s="148">
        <v>0</v>
      </c>
      <c r="Q45" s="148">
        <v>-8257.0608883001005</v>
      </c>
      <c r="R45" s="148">
        <v>0</v>
      </c>
      <c r="S45" s="148">
        <v>0</v>
      </c>
      <c r="T45" s="148">
        <v>-8257.0608881628796</v>
      </c>
      <c r="U45" s="148">
        <v>0</v>
      </c>
      <c r="V45" s="148">
        <v>0</v>
      </c>
      <c r="W45" s="148">
        <v>-8257.0608877635295</v>
      </c>
      <c r="X45" s="148">
        <v>0</v>
      </c>
      <c r="Y45" s="148">
        <v>0</v>
      </c>
      <c r="Z45" s="148">
        <v>-8257.0608873280598</v>
      </c>
      <c r="AA45" s="10"/>
      <c r="AB45" s="148">
        <v>0</v>
      </c>
      <c r="AC45" s="148">
        <v>0</v>
      </c>
      <c r="AD45" s="148">
        <v>-1148.8154999999999</v>
      </c>
      <c r="AE45" s="148">
        <v>0</v>
      </c>
      <c r="AF45" s="148">
        <v>0</v>
      </c>
      <c r="AG45" s="148">
        <v>-1148.8154999999999</v>
      </c>
      <c r="AH45" s="148">
        <v>0</v>
      </c>
      <c r="AI45" s="148">
        <v>0</v>
      </c>
      <c r="AJ45" s="148">
        <v>-1148.8154999999999</v>
      </c>
      <c r="AK45" s="148">
        <v>0</v>
      </c>
      <c r="AL45" s="148">
        <v>0</v>
      </c>
      <c r="AM45" s="148">
        <v>-1148.8154999999999</v>
      </c>
      <c r="AN45" s="10"/>
    </row>
    <row r="46" spans="1:40" ht="14.4" x14ac:dyDescent="0.3">
      <c r="A46" s="147" t="s">
        <v>698</v>
      </c>
      <c r="B46" s="148">
        <v>40014.806714666702</v>
      </c>
      <c r="C46" s="148">
        <v>25391.3020831666</v>
      </c>
      <c r="D46" s="148">
        <v>-17202.9465867217</v>
      </c>
      <c r="E46" s="148">
        <v>9681.1397046666607</v>
      </c>
      <c r="F46" s="148">
        <v>22854.2111926666</v>
      </c>
      <c r="G46" s="148">
        <v>-13853.623578221701</v>
      </c>
      <c r="H46" s="148">
        <v>26026.478905284599</v>
      </c>
      <c r="I46" s="148">
        <v>25916.4892345345</v>
      </c>
      <c r="J46" s="148">
        <v>-103628.7670596</v>
      </c>
      <c r="K46" s="148">
        <v>8352.9967168929106</v>
      </c>
      <c r="L46" s="148">
        <v>17533.049188979501</v>
      </c>
      <c r="M46" s="148">
        <v>-41085.136516249499</v>
      </c>
      <c r="N46" s="10"/>
      <c r="O46" s="148">
        <v>31557.2342515852</v>
      </c>
      <c r="P46" s="148">
        <v>26834.002501396699</v>
      </c>
      <c r="Q46" s="148">
        <v>-40900.187824348097</v>
      </c>
      <c r="R46" s="148">
        <v>8354.4149247035293</v>
      </c>
      <c r="S46" s="148">
        <v>15507.826872681</v>
      </c>
      <c r="T46" s="148">
        <v>-39541.201449539403</v>
      </c>
      <c r="U46" s="148">
        <v>24817.523455216298</v>
      </c>
      <c r="V46" s="148">
        <v>25992.5110611991</v>
      </c>
      <c r="W46" s="148">
        <v>-46149.768403662099</v>
      </c>
      <c r="X46" s="148">
        <v>8918.5066201424306</v>
      </c>
      <c r="Y46" s="148">
        <v>16952.762506000901</v>
      </c>
      <c r="Z46" s="148">
        <v>-32343.624519360699</v>
      </c>
      <c r="AA46" s="10"/>
      <c r="AB46" s="148">
        <v>34323.328597995504</v>
      </c>
      <c r="AC46" s="148">
        <v>29695.847747084899</v>
      </c>
      <c r="AD46" s="148">
        <v>11076.598641798601</v>
      </c>
      <c r="AE46" s="148">
        <v>9406.6567577580299</v>
      </c>
      <c r="AF46" s="148">
        <v>15439.141521495299</v>
      </c>
      <c r="AG46" s="148">
        <v>9168.9189321710892</v>
      </c>
      <c r="AH46" s="148">
        <v>24338.585741254901</v>
      </c>
      <c r="AI46" s="148">
        <v>27930.330650722401</v>
      </c>
      <c r="AJ46" s="148">
        <v>7935.0878996254396</v>
      </c>
      <c r="AK46" s="148">
        <v>7954.4888872901702</v>
      </c>
      <c r="AL46" s="148">
        <v>15608.3496956581</v>
      </c>
      <c r="AM46" s="148">
        <v>15719.013186922601</v>
      </c>
      <c r="AN46" s="10"/>
    </row>
    <row r="47" spans="1:40" ht="10.199999999999999" x14ac:dyDescent="0.2">
      <c r="A47" s="151" t="s">
        <v>699</v>
      </c>
      <c r="B47" s="152">
        <v>0.21</v>
      </c>
      <c r="C47" s="152">
        <v>0.21</v>
      </c>
      <c r="D47" s="152">
        <v>0.21</v>
      </c>
      <c r="E47" s="152">
        <v>0.21</v>
      </c>
      <c r="F47" s="152">
        <v>0.21</v>
      </c>
      <c r="G47" s="152">
        <v>0.21</v>
      </c>
      <c r="H47" s="152">
        <v>0.21</v>
      </c>
      <c r="I47" s="152">
        <v>0.21</v>
      </c>
      <c r="J47" s="152">
        <v>0.21</v>
      </c>
      <c r="K47" s="152">
        <v>0.21</v>
      </c>
      <c r="L47" s="152">
        <v>0.21</v>
      </c>
      <c r="M47" s="152">
        <v>0.21</v>
      </c>
      <c r="N47" s="152"/>
      <c r="O47" s="152">
        <v>0.21</v>
      </c>
      <c r="P47" s="152">
        <v>0.21</v>
      </c>
      <c r="Q47" s="152">
        <v>0.21</v>
      </c>
      <c r="R47" s="152">
        <v>0.21</v>
      </c>
      <c r="S47" s="152">
        <v>0.21</v>
      </c>
      <c r="T47" s="152">
        <v>0.21</v>
      </c>
      <c r="U47" s="152">
        <v>0.21</v>
      </c>
      <c r="V47" s="152">
        <v>0.21</v>
      </c>
      <c r="W47" s="152">
        <v>0.21</v>
      </c>
      <c r="X47" s="152">
        <v>0.21</v>
      </c>
      <c r="Y47" s="152">
        <v>0.21</v>
      </c>
      <c r="Z47" s="152">
        <v>0.21</v>
      </c>
      <c r="AA47" s="152"/>
      <c r="AB47" s="152">
        <v>0.21</v>
      </c>
      <c r="AC47" s="152">
        <v>0.21</v>
      </c>
      <c r="AD47" s="152">
        <v>0.21</v>
      </c>
      <c r="AE47" s="152">
        <v>0.21</v>
      </c>
      <c r="AF47" s="152">
        <v>0.21</v>
      </c>
      <c r="AG47" s="152">
        <v>0.21</v>
      </c>
      <c r="AH47" s="152">
        <v>0.21</v>
      </c>
      <c r="AI47" s="152">
        <v>0.21</v>
      </c>
      <c r="AJ47" s="152">
        <v>0.21</v>
      </c>
      <c r="AK47" s="152">
        <v>0.21</v>
      </c>
      <c r="AL47" s="152">
        <v>0.21</v>
      </c>
      <c r="AM47" s="152">
        <v>0.21</v>
      </c>
      <c r="AN47" s="152"/>
    </row>
    <row r="48" spans="1:40" ht="14.4" x14ac:dyDescent="0.3">
      <c r="A48" s="147" t="s">
        <v>700</v>
      </c>
      <c r="B48" s="148">
        <v>8403.1094100800001</v>
      </c>
      <c r="C48" s="148">
        <v>5332.1734374649895</v>
      </c>
      <c r="D48" s="148">
        <v>-3612.6187832115602</v>
      </c>
      <c r="E48" s="148">
        <v>2033.03933797999</v>
      </c>
      <c r="F48" s="148">
        <v>4799.38435046</v>
      </c>
      <c r="G48" s="148">
        <v>-2909.26095142656</v>
      </c>
      <c r="H48" s="148">
        <v>5465.5605701097602</v>
      </c>
      <c r="I48" s="148">
        <v>5442.4627392522598</v>
      </c>
      <c r="J48" s="148">
        <v>-21762.041082516102</v>
      </c>
      <c r="K48" s="148">
        <v>1754.1293105475099</v>
      </c>
      <c r="L48" s="148">
        <v>3681.9403296856899</v>
      </c>
      <c r="M48" s="148">
        <v>-8627.8786684124007</v>
      </c>
      <c r="N48" s="10"/>
      <c r="O48" s="148">
        <v>6627.0191928328904</v>
      </c>
      <c r="P48" s="148">
        <v>5635.14052529332</v>
      </c>
      <c r="Q48" s="148">
        <v>-8589.0394431131099</v>
      </c>
      <c r="R48" s="148">
        <v>1754.42713418774</v>
      </c>
      <c r="S48" s="148">
        <v>3256.6436432630098</v>
      </c>
      <c r="T48" s="148">
        <v>-8303.6523044032801</v>
      </c>
      <c r="U48" s="148">
        <v>5211.6799255954302</v>
      </c>
      <c r="V48" s="148">
        <v>5458.4273228518196</v>
      </c>
      <c r="W48" s="148">
        <v>-9691.4513647690401</v>
      </c>
      <c r="X48" s="148">
        <v>1872.8863902299099</v>
      </c>
      <c r="Y48" s="148">
        <v>3560.0801262601999</v>
      </c>
      <c r="Z48" s="148">
        <v>-6792.1611490657597</v>
      </c>
      <c r="AA48" s="10"/>
      <c r="AB48" s="148">
        <v>7207.89900557906</v>
      </c>
      <c r="AC48" s="148">
        <v>6236.12802688784</v>
      </c>
      <c r="AD48" s="148">
        <v>2326.0857147777101</v>
      </c>
      <c r="AE48" s="148">
        <v>1975.3979191291801</v>
      </c>
      <c r="AF48" s="148">
        <v>3242.2197195140202</v>
      </c>
      <c r="AG48" s="148">
        <v>1925.4729757559201</v>
      </c>
      <c r="AH48" s="148">
        <v>5111.10300566353</v>
      </c>
      <c r="AI48" s="148">
        <v>5865.3694366517202</v>
      </c>
      <c r="AJ48" s="148">
        <v>1666.3684589213401</v>
      </c>
      <c r="AK48" s="148">
        <v>1670.44266633093</v>
      </c>
      <c r="AL48" s="148">
        <v>3277.7534360882</v>
      </c>
      <c r="AM48" s="148">
        <v>3300.9927692537599</v>
      </c>
      <c r="AN48" s="10"/>
    </row>
    <row r="49" spans="1:40" ht="14.4" x14ac:dyDescent="0.3">
      <c r="A49" s="147" t="s">
        <v>701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4.4" x14ac:dyDescent="0.3">
      <c r="A50" s="147" t="s">
        <v>702</v>
      </c>
      <c r="B50" s="148">
        <v>0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0"/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0"/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148">
        <v>0</v>
      </c>
      <c r="AK50" s="148">
        <v>0</v>
      </c>
      <c r="AL50" s="148">
        <v>0</v>
      </c>
      <c r="AM50" s="148">
        <v>0</v>
      </c>
      <c r="AN50" s="10"/>
    </row>
    <row r="51" spans="1:40" ht="14.4" x14ac:dyDescent="0.3">
      <c r="A51" s="147" t="s">
        <v>703</v>
      </c>
      <c r="B51" s="148">
        <v>0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0"/>
      <c r="O51" s="148">
        <v>0</v>
      </c>
      <c r="P51" s="148">
        <v>0</v>
      </c>
      <c r="Q51" s="148">
        <v>0</v>
      </c>
      <c r="R51" s="148">
        <v>0</v>
      </c>
      <c r="S51" s="148">
        <v>0</v>
      </c>
      <c r="T51" s="148">
        <v>0</v>
      </c>
      <c r="U51" s="148">
        <v>0</v>
      </c>
      <c r="V51" s="148">
        <v>0</v>
      </c>
      <c r="W51" s="148">
        <v>0</v>
      </c>
      <c r="X51" s="148">
        <v>0</v>
      </c>
      <c r="Y51" s="148">
        <v>0</v>
      </c>
      <c r="Z51" s="148">
        <v>0</v>
      </c>
      <c r="AA51" s="10"/>
      <c r="AB51" s="148">
        <v>0</v>
      </c>
      <c r="AC51" s="148">
        <v>0</v>
      </c>
      <c r="AD51" s="148"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0"/>
    </row>
    <row r="52" spans="1:40" ht="14.4" x14ac:dyDescent="0.3">
      <c r="A52" s="147" t="s">
        <v>704</v>
      </c>
      <c r="B52" s="148">
        <v>0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0"/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0"/>
      <c r="AB52" s="148">
        <v>0</v>
      </c>
      <c r="AC52" s="148">
        <v>0</v>
      </c>
      <c r="AD52" s="148">
        <v>-737.75</v>
      </c>
      <c r="AE52" s="148">
        <v>0</v>
      </c>
      <c r="AF52" s="148">
        <v>0</v>
      </c>
      <c r="AG52" s="148">
        <v>-737.75</v>
      </c>
      <c r="AH52" s="148">
        <v>0</v>
      </c>
      <c r="AI52" s="148">
        <v>0</v>
      </c>
      <c r="AJ52" s="148">
        <v>-737.75</v>
      </c>
      <c r="AK52" s="148">
        <v>0</v>
      </c>
      <c r="AL52" s="148">
        <v>0</v>
      </c>
      <c r="AM52" s="148">
        <v>-737.75</v>
      </c>
      <c r="AN52" s="10"/>
    </row>
    <row r="53" spans="1:40" ht="14.4" x14ac:dyDescent="0.3">
      <c r="A53" s="147" t="s">
        <v>705</v>
      </c>
      <c r="B53" s="148">
        <v>0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0"/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v>0</v>
      </c>
      <c r="AA53" s="10"/>
      <c r="AB53" s="148">
        <v>0</v>
      </c>
      <c r="AC53" s="148">
        <v>0</v>
      </c>
      <c r="AD53" s="148">
        <v>-1137.6015</v>
      </c>
      <c r="AE53" s="148">
        <v>0</v>
      </c>
      <c r="AF53" s="148">
        <v>0</v>
      </c>
      <c r="AG53" s="148">
        <v>-1137.6015</v>
      </c>
      <c r="AH53" s="148">
        <v>0</v>
      </c>
      <c r="AI53" s="148">
        <v>0</v>
      </c>
      <c r="AJ53" s="148">
        <v>-1137.6015</v>
      </c>
      <c r="AK53" s="148">
        <v>0</v>
      </c>
      <c r="AL53" s="148">
        <v>0</v>
      </c>
      <c r="AM53" s="148">
        <v>-1137.6015</v>
      </c>
      <c r="AN53" s="10"/>
    </row>
    <row r="54" spans="1:40" ht="14.4" x14ac:dyDescent="0.3">
      <c r="A54" s="147" t="s">
        <v>706</v>
      </c>
      <c r="B54" s="148">
        <v>8403.1094100800001</v>
      </c>
      <c r="C54" s="148">
        <v>5332.1734374649895</v>
      </c>
      <c r="D54" s="148">
        <v>-3612.6187832115602</v>
      </c>
      <c r="E54" s="148">
        <v>2033.03933797999</v>
      </c>
      <c r="F54" s="148">
        <v>4799.38435046</v>
      </c>
      <c r="G54" s="148">
        <v>-2909.26095142656</v>
      </c>
      <c r="H54" s="148">
        <v>5465.5605701097602</v>
      </c>
      <c r="I54" s="148">
        <v>5442.4627392522598</v>
      </c>
      <c r="J54" s="148">
        <v>-21762.041082516102</v>
      </c>
      <c r="K54" s="148">
        <v>1754.1293105475099</v>
      </c>
      <c r="L54" s="148">
        <v>3681.9403296856899</v>
      </c>
      <c r="M54" s="148">
        <v>-8627.8786684124007</v>
      </c>
      <c r="N54" s="10"/>
      <c r="O54" s="148">
        <v>6627.0191928328904</v>
      </c>
      <c r="P54" s="148">
        <v>5635.14052529332</v>
      </c>
      <c r="Q54" s="148">
        <v>-8589.0394431131099</v>
      </c>
      <c r="R54" s="148">
        <v>1754.42713418774</v>
      </c>
      <c r="S54" s="148">
        <v>3256.6436432630098</v>
      </c>
      <c r="T54" s="148">
        <v>-8303.6523044032801</v>
      </c>
      <c r="U54" s="148">
        <v>5211.6799255954302</v>
      </c>
      <c r="V54" s="148">
        <v>5458.4273228518196</v>
      </c>
      <c r="W54" s="148">
        <v>-9691.4513647690401</v>
      </c>
      <c r="X54" s="148">
        <v>1872.8863902299099</v>
      </c>
      <c r="Y54" s="148">
        <v>3560.0801262601999</v>
      </c>
      <c r="Z54" s="148">
        <v>-6792.1611490657597</v>
      </c>
      <c r="AA54" s="10"/>
      <c r="AB54" s="148">
        <v>7207.89900557906</v>
      </c>
      <c r="AC54" s="148">
        <v>6236.12802688784</v>
      </c>
      <c r="AD54" s="148">
        <v>450.73421477771399</v>
      </c>
      <c r="AE54" s="148">
        <v>1975.3979191291801</v>
      </c>
      <c r="AF54" s="148">
        <v>3242.2197195140202</v>
      </c>
      <c r="AG54" s="148">
        <v>50.121475755928898</v>
      </c>
      <c r="AH54" s="148">
        <v>5111.10300566353</v>
      </c>
      <c r="AI54" s="148">
        <v>5865.3694366517202</v>
      </c>
      <c r="AJ54" s="148">
        <v>-208.98304107865701</v>
      </c>
      <c r="AK54" s="148">
        <v>1670.44266633093</v>
      </c>
      <c r="AL54" s="148">
        <v>3277.7534360882</v>
      </c>
      <c r="AM54" s="148">
        <v>1425.6412692537599</v>
      </c>
      <c r="AN54" s="10"/>
    </row>
    <row r="55" spans="1:40" ht="14.4" x14ac:dyDescent="0.3">
      <c r="A55" s="147" t="s">
        <v>707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4.4" x14ac:dyDescent="0.3">
      <c r="A56" s="147" t="s">
        <v>708</v>
      </c>
      <c r="B56" s="148">
        <v>40014.806714666702</v>
      </c>
      <c r="C56" s="148">
        <v>25391.3020831666</v>
      </c>
      <c r="D56" s="148">
        <v>-17202.9465867217</v>
      </c>
      <c r="E56" s="148">
        <v>9681.1397046666607</v>
      </c>
      <c r="F56" s="148">
        <v>22854.2111926666</v>
      </c>
      <c r="G56" s="148">
        <v>-13853.623578221701</v>
      </c>
      <c r="H56" s="148">
        <v>26026.478905284599</v>
      </c>
      <c r="I56" s="148">
        <v>25916.4892345345</v>
      </c>
      <c r="J56" s="148">
        <v>-103628.7670596</v>
      </c>
      <c r="K56" s="148">
        <v>8352.9967168929106</v>
      </c>
      <c r="L56" s="148">
        <v>17533.049188979501</v>
      </c>
      <c r="M56" s="148">
        <v>-41085.136516249499</v>
      </c>
      <c r="N56" s="10"/>
      <c r="O56" s="148">
        <v>31557.2342515852</v>
      </c>
      <c r="P56" s="148">
        <v>26834.002501396699</v>
      </c>
      <c r="Q56" s="148">
        <v>-40900.187824348097</v>
      </c>
      <c r="R56" s="148">
        <v>8354.4149247035293</v>
      </c>
      <c r="S56" s="148">
        <v>15507.826872681</v>
      </c>
      <c r="T56" s="148">
        <v>-39541.201449539403</v>
      </c>
      <c r="U56" s="148">
        <v>24817.523455216298</v>
      </c>
      <c r="V56" s="148">
        <v>25992.5110611991</v>
      </c>
      <c r="W56" s="148">
        <v>-46149.768403662099</v>
      </c>
      <c r="X56" s="148">
        <v>8918.5066201424306</v>
      </c>
      <c r="Y56" s="148">
        <v>16952.762506000901</v>
      </c>
      <c r="Z56" s="148">
        <v>-32343.624519360699</v>
      </c>
      <c r="AA56" s="10"/>
      <c r="AB56" s="148">
        <v>34323.328597995504</v>
      </c>
      <c r="AC56" s="148">
        <v>29695.847747084899</v>
      </c>
      <c r="AD56" s="148">
        <v>11076.598641798601</v>
      </c>
      <c r="AE56" s="148">
        <v>9406.6567577580299</v>
      </c>
      <c r="AF56" s="148">
        <v>15439.141521495299</v>
      </c>
      <c r="AG56" s="148">
        <v>9168.9189321710892</v>
      </c>
      <c r="AH56" s="148">
        <v>24338.585741254901</v>
      </c>
      <c r="AI56" s="148">
        <v>27930.330650722401</v>
      </c>
      <c r="AJ56" s="148">
        <v>7935.0878996254396</v>
      </c>
      <c r="AK56" s="148">
        <v>7954.4888872901702</v>
      </c>
      <c r="AL56" s="148">
        <v>15608.3496956581</v>
      </c>
      <c r="AM56" s="148">
        <v>15719.013186922601</v>
      </c>
      <c r="AN56" s="10"/>
    </row>
    <row r="57" spans="1:40" ht="14.4" x14ac:dyDescent="0.3">
      <c r="A57" s="146" t="s">
        <v>709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4.4" x14ac:dyDescent="0.3">
      <c r="A58" s="147" t="s">
        <v>710</v>
      </c>
      <c r="B58" s="148">
        <v>0</v>
      </c>
      <c r="C58" s="148">
        <v>0</v>
      </c>
      <c r="D58" s="148">
        <v>-22336.527568423699</v>
      </c>
      <c r="E58" s="148">
        <v>0</v>
      </c>
      <c r="F58" s="148">
        <v>0</v>
      </c>
      <c r="G58" s="148">
        <v>-22336.527568423699</v>
      </c>
      <c r="H58" s="148">
        <v>0</v>
      </c>
      <c r="I58" s="148">
        <v>0</v>
      </c>
      <c r="J58" s="148">
        <v>-22336.527568423098</v>
      </c>
      <c r="K58" s="148">
        <v>0</v>
      </c>
      <c r="L58" s="148">
        <v>0</v>
      </c>
      <c r="M58" s="148">
        <v>-22336.527568423098</v>
      </c>
      <c r="N58" s="10"/>
      <c r="O58" s="148">
        <v>0</v>
      </c>
      <c r="P58" s="148">
        <v>0</v>
      </c>
      <c r="Q58" s="148">
        <v>-51714.663061147097</v>
      </c>
      <c r="R58" s="148">
        <v>0</v>
      </c>
      <c r="S58" s="148">
        <v>0</v>
      </c>
      <c r="T58" s="148">
        <v>-51714.6630611726</v>
      </c>
      <c r="U58" s="148">
        <v>0</v>
      </c>
      <c r="V58" s="148">
        <v>0</v>
      </c>
      <c r="W58" s="148">
        <v>-51714.663061181498</v>
      </c>
      <c r="X58" s="148">
        <v>0</v>
      </c>
      <c r="Y58" s="148">
        <v>0</v>
      </c>
      <c r="Z58" s="148">
        <v>-51714.663061192601</v>
      </c>
      <c r="AA58" s="10"/>
      <c r="AB58" s="148">
        <v>0</v>
      </c>
      <c r="AC58" s="148">
        <v>0</v>
      </c>
      <c r="AD58" s="148">
        <v>-9970.6272884843602</v>
      </c>
      <c r="AE58" s="148">
        <v>0</v>
      </c>
      <c r="AF58" s="148">
        <v>0</v>
      </c>
      <c r="AG58" s="148">
        <v>-9970.6272884506106</v>
      </c>
      <c r="AH58" s="148">
        <v>0</v>
      </c>
      <c r="AI58" s="148">
        <v>0</v>
      </c>
      <c r="AJ58" s="148">
        <v>-9970.6272884148293</v>
      </c>
      <c r="AK58" s="148">
        <v>0</v>
      </c>
      <c r="AL58" s="148">
        <v>0</v>
      </c>
      <c r="AM58" s="148">
        <v>-9970.6272884179798</v>
      </c>
      <c r="AN58" s="10"/>
    </row>
    <row r="59" spans="1:40" ht="14.4" x14ac:dyDescent="0.3">
      <c r="A59" s="147" t="s">
        <v>711</v>
      </c>
      <c r="B59" s="148">
        <v>0</v>
      </c>
      <c r="C59" s="148">
        <v>0</v>
      </c>
      <c r="D59" s="148">
        <v>4690.67078936899</v>
      </c>
      <c r="E59" s="148">
        <v>0</v>
      </c>
      <c r="F59" s="148">
        <v>0</v>
      </c>
      <c r="G59" s="148">
        <v>4690.67078936897</v>
      </c>
      <c r="H59" s="148">
        <v>0</v>
      </c>
      <c r="I59" s="148">
        <v>0</v>
      </c>
      <c r="J59" s="148">
        <v>4690.6707893688699</v>
      </c>
      <c r="K59" s="148">
        <v>0</v>
      </c>
      <c r="L59" s="148">
        <v>0</v>
      </c>
      <c r="M59" s="148">
        <v>4690.6707893688599</v>
      </c>
      <c r="N59" s="10"/>
      <c r="O59" s="148">
        <v>0</v>
      </c>
      <c r="P59" s="148">
        <v>0</v>
      </c>
      <c r="Q59" s="148">
        <v>10860.0792428409</v>
      </c>
      <c r="R59" s="148">
        <v>0</v>
      </c>
      <c r="S59" s="148">
        <v>0</v>
      </c>
      <c r="T59" s="148">
        <v>10860.079242846199</v>
      </c>
      <c r="U59" s="148">
        <v>0</v>
      </c>
      <c r="V59" s="148">
        <v>0</v>
      </c>
      <c r="W59" s="148">
        <v>10860.0792428481</v>
      </c>
      <c r="X59" s="148">
        <v>0</v>
      </c>
      <c r="Y59" s="148">
        <v>0</v>
      </c>
      <c r="Z59" s="148">
        <v>10860.079242850399</v>
      </c>
      <c r="AA59" s="10"/>
      <c r="AB59" s="148">
        <v>0</v>
      </c>
      <c r="AC59" s="148">
        <v>0</v>
      </c>
      <c r="AD59" s="148">
        <v>2093.83173058171</v>
      </c>
      <c r="AE59" s="148">
        <v>0</v>
      </c>
      <c r="AF59" s="148">
        <v>0</v>
      </c>
      <c r="AG59" s="148">
        <v>2093.83173057462</v>
      </c>
      <c r="AH59" s="148">
        <v>0</v>
      </c>
      <c r="AI59" s="148">
        <v>0</v>
      </c>
      <c r="AJ59" s="148">
        <v>2093.8317305671098</v>
      </c>
      <c r="AK59" s="148">
        <v>0</v>
      </c>
      <c r="AL59" s="148">
        <v>0</v>
      </c>
      <c r="AM59" s="148">
        <v>2093.8317305677701</v>
      </c>
      <c r="AN59" s="10"/>
    </row>
    <row r="60" spans="1:40" ht="14.4" x14ac:dyDescent="0.3">
      <c r="A60" s="147" t="s">
        <v>712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4.4" x14ac:dyDescent="0.3">
      <c r="A61" s="147" t="s">
        <v>713</v>
      </c>
      <c r="B61" s="148">
        <v>0</v>
      </c>
      <c r="C61" s="148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0"/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>
        <v>0</v>
      </c>
      <c r="AA61" s="10"/>
      <c r="AB61" s="148">
        <v>0</v>
      </c>
      <c r="AC61" s="148">
        <v>0</v>
      </c>
      <c r="AD61" s="148">
        <v>0</v>
      </c>
      <c r="AE61" s="148">
        <v>0</v>
      </c>
      <c r="AF61" s="148">
        <v>0</v>
      </c>
      <c r="AG61" s="148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0"/>
    </row>
    <row r="62" spans="1:40" ht="14.4" x14ac:dyDescent="0.3">
      <c r="A62" s="147" t="s">
        <v>714</v>
      </c>
      <c r="B62" s="148">
        <v>0</v>
      </c>
      <c r="C62" s="148">
        <v>0</v>
      </c>
      <c r="D62" s="148">
        <v>7369.2725399999899</v>
      </c>
      <c r="E62" s="148">
        <v>0</v>
      </c>
      <c r="F62" s="148">
        <v>0</v>
      </c>
      <c r="G62" s="148">
        <v>7369.2725399999899</v>
      </c>
      <c r="H62" s="148">
        <v>0</v>
      </c>
      <c r="I62" s="148">
        <v>0</v>
      </c>
      <c r="J62" s="148">
        <v>3648.57052309955</v>
      </c>
      <c r="K62" s="148">
        <v>0</v>
      </c>
      <c r="L62" s="148">
        <v>0</v>
      </c>
      <c r="M62" s="148">
        <v>6129.0385343387397</v>
      </c>
      <c r="N62" s="10"/>
      <c r="O62" s="148">
        <v>0</v>
      </c>
      <c r="P62" s="148">
        <v>0</v>
      </c>
      <c r="Q62" s="148">
        <v>1733.98278654302</v>
      </c>
      <c r="R62" s="148">
        <v>0</v>
      </c>
      <c r="S62" s="148">
        <v>0</v>
      </c>
      <c r="T62" s="148">
        <v>1733.9827865141999</v>
      </c>
      <c r="U62" s="148">
        <v>0</v>
      </c>
      <c r="V62" s="148">
        <v>0</v>
      </c>
      <c r="W62" s="148">
        <v>1733.98278643034</v>
      </c>
      <c r="X62" s="148">
        <v>0</v>
      </c>
      <c r="Y62" s="148">
        <v>0</v>
      </c>
      <c r="Z62" s="148">
        <v>1733.98278633889</v>
      </c>
      <c r="AA62" s="10"/>
      <c r="AB62" s="148">
        <v>0</v>
      </c>
      <c r="AC62" s="148">
        <v>0</v>
      </c>
      <c r="AD62" s="148">
        <v>241.25125499999999</v>
      </c>
      <c r="AE62" s="148">
        <v>0</v>
      </c>
      <c r="AF62" s="148">
        <v>0</v>
      </c>
      <c r="AG62" s="148">
        <v>241.25125499999999</v>
      </c>
      <c r="AH62" s="148">
        <v>0</v>
      </c>
      <c r="AI62" s="148">
        <v>0</v>
      </c>
      <c r="AJ62" s="148">
        <v>241.25125499999999</v>
      </c>
      <c r="AK62" s="148">
        <v>0</v>
      </c>
      <c r="AL62" s="148">
        <v>0</v>
      </c>
      <c r="AM62" s="148">
        <v>241.25125499999999</v>
      </c>
      <c r="AN62" s="10"/>
    </row>
    <row r="63" spans="1:40" ht="14.4" x14ac:dyDescent="0.3">
      <c r="A63" s="147" t="s">
        <v>715</v>
      </c>
      <c r="B63" s="148">
        <v>0</v>
      </c>
      <c r="C63" s="148"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0"/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</v>
      </c>
      <c r="X63" s="148">
        <v>0</v>
      </c>
      <c r="Y63" s="148">
        <v>0</v>
      </c>
      <c r="Z63" s="148">
        <v>0</v>
      </c>
      <c r="AA63" s="10"/>
      <c r="AB63" s="148">
        <v>0</v>
      </c>
      <c r="AC63" s="148">
        <v>0</v>
      </c>
      <c r="AD63" s="148">
        <v>0</v>
      </c>
      <c r="AE63" s="148">
        <v>0</v>
      </c>
      <c r="AF63" s="148">
        <v>0</v>
      </c>
      <c r="AG63" s="148">
        <v>0</v>
      </c>
      <c r="AH63" s="148">
        <v>0</v>
      </c>
      <c r="AI63" s="148">
        <v>0</v>
      </c>
      <c r="AJ63" s="148">
        <v>0</v>
      </c>
      <c r="AK63" s="148">
        <v>0</v>
      </c>
      <c r="AL63" s="148">
        <v>0</v>
      </c>
      <c r="AM63" s="148">
        <v>0</v>
      </c>
      <c r="AN63" s="10"/>
    </row>
    <row r="64" spans="1:40" ht="14.4" x14ac:dyDescent="0.3">
      <c r="A64" s="147" t="s">
        <v>716</v>
      </c>
      <c r="B64" s="148">
        <v>0</v>
      </c>
      <c r="C64" s="148">
        <v>0</v>
      </c>
      <c r="D64" s="148">
        <v>-3598.02197999999</v>
      </c>
      <c r="E64" s="148">
        <v>0</v>
      </c>
      <c r="F64" s="148">
        <v>0</v>
      </c>
      <c r="G64" s="148">
        <v>-3551.4097499999898</v>
      </c>
      <c r="H64" s="148">
        <v>0</v>
      </c>
      <c r="I64" s="148">
        <v>0</v>
      </c>
      <c r="J64" s="148">
        <v>17501.659839299999</v>
      </c>
      <c r="K64" s="148">
        <v>0</v>
      </c>
      <c r="L64" s="148">
        <v>0</v>
      </c>
      <c r="M64" s="148">
        <v>3450.7427031000002</v>
      </c>
      <c r="N64" s="10"/>
      <c r="O64" s="148">
        <v>0</v>
      </c>
      <c r="P64" s="148">
        <v>0</v>
      </c>
      <c r="Q64" s="148">
        <v>143.086772325</v>
      </c>
      <c r="R64" s="148">
        <v>0</v>
      </c>
      <c r="S64" s="148">
        <v>0</v>
      </c>
      <c r="T64" s="148">
        <v>143.086772325</v>
      </c>
      <c r="U64" s="148">
        <v>0</v>
      </c>
      <c r="V64" s="148">
        <v>0</v>
      </c>
      <c r="W64" s="148">
        <v>143.086772325</v>
      </c>
      <c r="X64" s="148">
        <v>0</v>
      </c>
      <c r="Y64" s="148">
        <v>0</v>
      </c>
      <c r="Z64" s="148">
        <v>143.086772325</v>
      </c>
      <c r="AA64" s="10"/>
      <c r="AB64" s="148">
        <v>0</v>
      </c>
      <c r="AC64" s="148">
        <v>0</v>
      </c>
      <c r="AD64" s="148">
        <v>-269.52660262499899</v>
      </c>
      <c r="AE64" s="148">
        <v>0</v>
      </c>
      <c r="AF64" s="148">
        <v>0</v>
      </c>
      <c r="AG64" s="148">
        <v>-269.52660262499899</v>
      </c>
      <c r="AH64" s="148">
        <v>0</v>
      </c>
      <c r="AI64" s="148">
        <v>0</v>
      </c>
      <c r="AJ64" s="148">
        <v>-269.52660262499899</v>
      </c>
      <c r="AK64" s="148">
        <v>0</v>
      </c>
      <c r="AL64" s="148">
        <v>0</v>
      </c>
      <c r="AM64" s="148">
        <v>-269.52660262499899</v>
      </c>
      <c r="AN64" s="10"/>
    </row>
    <row r="65" spans="1:40" ht="14.4" x14ac:dyDescent="0.3">
      <c r="A65" s="147" t="s">
        <v>717</v>
      </c>
      <c r="B65" s="148">
        <v>9.0345223848299696</v>
      </c>
      <c r="C65" s="148">
        <v>9.0345223848299696</v>
      </c>
      <c r="D65" s="148">
        <v>13.2406623848299</v>
      </c>
      <c r="E65" s="148">
        <v>9.0345223848299696</v>
      </c>
      <c r="F65" s="148">
        <v>9.0345223848299696</v>
      </c>
      <c r="G65" s="148">
        <v>13.2406623848299</v>
      </c>
      <c r="H65" s="148">
        <v>9.0345223848299696</v>
      </c>
      <c r="I65" s="148">
        <v>9.0345223848299696</v>
      </c>
      <c r="J65" s="148">
        <v>13.2406623848299</v>
      </c>
      <c r="K65" s="148">
        <v>9.0345223848299696</v>
      </c>
      <c r="L65" s="148">
        <v>9.0345223848299696</v>
      </c>
      <c r="M65" s="148">
        <v>13.2406623848299</v>
      </c>
      <c r="N65" s="10"/>
      <c r="O65" s="148">
        <v>9.0345223848299696</v>
      </c>
      <c r="P65" s="148">
        <v>9.0345223848299696</v>
      </c>
      <c r="Q65" s="148">
        <v>13.2406623848299</v>
      </c>
      <c r="R65" s="148">
        <v>9.0345223848299696</v>
      </c>
      <c r="S65" s="148">
        <v>9.0345223848299696</v>
      </c>
      <c r="T65" s="148">
        <v>13.2406623848299</v>
      </c>
      <c r="U65" s="148">
        <v>9.0345223848299696</v>
      </c>
      <c r="V65" s="148">
        <v>9.0345223848299696</v>
      </c>
      <c r="W65" s="148">
        <v>13.2406623848299</v>
      </c>
      <c r="X65" s="148">
        <v>9.0345223848299696</v>
      </c>
      <c r="Y65" s="148">
        <v>9.0345223848299696</v>
      </c>
      <c r="Z65" s="148">
        <v>13.2406623848299</v>
      </c>
      <c r="AA65" s="10"/>
      <c r="AB65" s="148">
        <v>9.0345223848299696</v>
      </c>
      <c r="AC65" s="148">
        <v>9.0345223848299696</v>
      </c>
      <c r="AD65" s="148">
        <v>13.2406623848299</v>
      </c>
      <c r="AE65" s="148">
        <v>9.0345223848299696</v>
      </c>
      <c r="AF65" s="148">
        <v>9.0345223848299696</v>
      </c>
      <c r="AG65" s="148">
        <v>13.2406623848299</v>
      </c>
      <c r="AH65" s="148">
        <v>9.0345223848299696</v>
      </c>
      <c r="AI65" s="148">
        <v>9.0345223848299696</v>
      </c>
      <c r="AJ65" s="148">
        <v>13.2406623848299</v>
      </c>
      <c r="AK65" s="148">
        <v>9.0345223848299696</v>
      </c>
      <c r="AL65" s="148">
        <v>9.0345223848299696</v>
      </c>
      <c r="AM65" s="148">
        <v>13.2406623848299</v>
      </c>
      <c r="AN65" s="10"/>
    </row>
    <row r="66" spans="1:40" ht="14.4" x14ac:dyDescent="0.3">
      <c r="A66" s="147" t="s">
        <v>718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0"/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0"/>
      <c r="AB66" s="148">
        <v>0</v>
      </c>
      <c r="AC66" s="148">
        <v>0</v>
      </c>
      <c r="AD66" s="148">
        <v>0</v>
      </c>
      <c r="AE66" s="148">
        <v>0</v>
      </c>
      <c r="AF66" s="148">
        <v>0</v>
      </c>
      <c r="AG66" s="148">
        <v>0</v>
      </c>
      <c r="AH66" s="148">
        <v>0</v>
      </c>
      <c r="AI66" s="148">
        <v>0</v>
      </c>
      <c r="AJ66" s="148">
        <v>0</v>
      </c>
      <c r="AK66" s="148">
        <v>0</v>
      </c>
      <c r="AL66" s="148">
        <v>0</v>
      </c>
      <c r="AM66" s="148">
        <v>0</v>
      </c>
      <c r="AN66" s="10"/>
    </row>
    <row r="67" spans="1:40" ht="14.4" x14ac:dyDescent="0.3">
      <c r="A67" s="147" t="s">
        <v>719</v>
      </c>
      <c r="B67" s="148">
        <v>0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0"/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0</v>
      </c>
      <c r="X67" s="148">
        <v>0</v>
      </c>
      <c r="Y67" s="148">
        <v>0</v>
      </c>
      <c r="Z67" s="148">
        <v>0</v>
      </c>
      <c r="AA67" s="10"/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0"/>
    </row>
    <row r="68" spans="1:40" ht="14.4" x14ac:dyDescent="0.3">
      <c r="A68" s="147" t="s">
        <v>720</v>
      </c>
      <c r="B68" s="148">
        <v>0</v>
      </c>
      <c r="C68" s="148">
        <v>0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0"/>
      <c r="O68" s="148">
        <v>0</v>
      </c>
      <c r="P68" s="148">
        <v>0</v>
      </c>
      <c r="Q68" s="148">
        <v>0</v>
      </c>
      <c r="R68" s="148">
        <v>0</v>
      </c>
      <c r="S68" s="148">
        <v>0</v>
      </c>
      <c r="T68" s="148">
        <v>0</v>
      </c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>
        <v>0</v>
      </c>
      <c r="AA68" s="10"/>
      <c r="AB68" s="148">
        <v>0</v>
      </c>
      <c r="AC68" s="148">
        <v>0</v>
      </c>
      <c r="AD68" s="148">
        <v>737.75</v>
      </c>
      <c r="AE68" s="148">
        <v>0</v>
      </c>
      <c r="AF68" s="148">
        <v>0</v>
      </c>
      <c r="AG68" s="148">
        <v>737.75</v>
      </c>
      <c r="AH68" s="148">
        <v>0</v>
      </c>
      <c r="AI68" s="148">
        <v>0</v>
      </c>
      <c r="AJ68" s="148">
        <v>737.75</v>
      </c>
      <c r="AK68" s="148">
        <v>0</v>
      </c>
      <c r="AL68" s="148">
        <v>0</v>
      </c>
      <c r="AM68" s="148">
        <v>737.75</v>
      </c>
      <c r="AN68" s="10"/>
    </row>
    <row r="69" spans="1:40" ht="14.4" x14ac:dyDescent="0.3">
      <c r="A69" s="147" t="s">
        <v>721</v>
      </c>
      <c r="B69" s="148">
        <v>0</v>
      </c>
      <c r="C69" s="148">
        <v>0</v>
      </c>
      <c r="D69" s="148">
        <v>-205</v>
      </c>
      <c r="E69" s="148">
        <v>0</v>
      </c>
      <c r="F69" s="148">
        <v>0</v>
      </c>
      <c r="G69" s="148">
        <v>-205</v>
      </c>
      <c r="H69" s="148">
        <v>0</v>
      </c>
      <c r="I69" s="148">
        <v>0</v>
      </c>
      <c r="J69" s="148">
        <v>-205</v>
      </c>
      <c r="K69" s="148">
        <v>0</v>
      </c>
      <c r="L69" s="148">
        <v>0</v>
      </c>
      <c r="M69" s="148">
        <v>-205</v>
      </c>
      <c r="N69" s="10"/>
      <c r="O69" s="148">
        <v>0</v>
      </c>
      <c r="P69" s="148">
        <v>0</v>
      </c>
      <c r="Q69" s="148">
        <v>-205</v>
      </c>
      <c r="R69" s="148">
        <v>0</v>
      </c>
      <c r="S69" s="148">
        <v>0</v>
      </c>
      <c r="T69" s="148">
        <v>-205</v>
      </c>
      <c r="U69" s="148">
        <v>0</v>
      </c>
      <c r="V69" s="148">
        <v>0</v>
      </c>
      <c r="W69" s="148">
        <v>-205</v>
      </c>
      <c r="X69" s="148">
        <v>0</v>
      </c>
      <c r="Y69" s="148">
        <v>0</v>
      </c>
      <c r="Z69" s="148">
        <v>-205</v>
      </c>
      <c r="AA69" s="10"/>
      <c r="AB69" s="148">
        <v>0</v>
      </c>
      <c r="AC69" s="148">
        <v>0</v>
      </c>
      <c r="AD69" s="148">
        <v>932.60149999999999</v>
      </c>
      <c r="AE69" s="148">
        <v>0</v>
      </c>
      <c r="AF69" s="148">
        <v>0</v>
      </c>
      <c r="AG69" s="148">
        <v>932.60149999999999</v>
      </c>
      <c r="AH69" s="148">
        <v>0</v>
      </c>
      <c r="AI69" s="148">
        <v>0</v>
      </c>
      <c r="AJ69" s="148">
        <v>932.60149999999999</v>
      </c>
      <c r="AK69" s="148">
        <v>0</v>
      </c>
      <c r="AL69" s="148">
        <v>0</v>
      </c>
      <c r="AM69" s="148">
        <v>932.60149999999999</v>
      </c>
      <c r="AN69" s="10"/>
    </row>
    <row r="70" spans="1:40" ht="14.4" x14ac:dyDescent="0.3">
      <c r="A70" s="147" t="s">
        <v>722</v>
      </c>
      <c r="B70" s="148">
        <v>0</v>
      </c>
      <c r="C70" s="148">
        <v>0</v>
      </c>
      <c r="D70" s="148">
        <v>-1787.41617</v>
      </c>
      <c r="E70" s="148">
        <v>-345.45542</v>
      </c>
      <c r="F70" s="148">
        <v>0</v>
      </c>
      <c r="G70" s="148">
        <v>-2163.058</v>
      </c>
      <c r="H70" s="148">
        <v>0</v>
      </c>
      <c r="I70" s="148">
        <v>0</v>
      </c>
      <c r="J70" s="148">
        <v>-1423.9360123510901</v>
      </c>
      <c r="K70" s="148">
        <v>0</v>
      </c>
      <c r="L70" s="148">
        <v>0</v>
      </c>
      <c r="M70" s="148">
        <v>-1906.621705</v>
      </c>
      <c r="N70" s="10"/>
      <c r="O70" s="148">
        <v>0</v>
      </c>
      <c r="P70" s="148">
        <v>0</v>
      </c>
      <c r="Q70" s="148">
        <v>-2539.1911748749999</v>
      </c>
      <c r="R70" s="148">
        <v>-841.75138895833402</v>
      </c>
      <c r="S70" s="148">
        <v>0</v>
      </c>
      <c r="T70" s="148">
        <v>-1711.4827859166701</v>
      </c>
      <c r="U70" s="148">
        <v>0</v>
      </c>
      <c r="V70" s="148">
        <v>0</v>
      </c>
      <c r="W70" s="148">
        <v>-2560.2561748749999</v>
      </c>
      <c r="X70" s="148">
        <v>0</v>
      </c>
      <c r="Y70" s="148">
        <v>0</v>
      </c>
      <c r="Z70" s="148">
        <v>-2560.2561748749999</v>
      </c>
      <c r="AA70" s="10"/>
      <c r="AB70" s="148">
        <v>0</v>
      </c>
      <c r="AC70" s="148">
        <v>0</v>
      </c>
      <c r="AD70" s="148">
        <v>-2748.6480835106399</v>
      </c>
      <c r="AE70" s="148">
        <v>-903.08159308333404</v>
      </c>
      <c r="AF70" s="148">
        <v>0</v>
      </c>
      <c r="AG70" s="148">
        <v>-1845.5664904273101</v>
      </c>
      <c r="AH70" s="148">
        <v>0</v>
      </c>
      <c r="AI70" s="148">
        <v>0</v>
      </c>
      <c r="AJ70" s="148">
        <v>-2748.6480835106399</v>
      </c>
      <c r="AK70" s="148">
        <v>0</v>
      </c>
      <c r="AL70" s="148">
        <v>0</v>
      </c>
      <c r="AM70" s="148">
        <v>-2748.6480835106399</v>
      </c>
      <c r="AN70" s="10"/>
    </row>
    <row r="71" spans="1:40" ht="14.4" x14ac:dyDescent="0.3">
      <c r="A71" s="147" t="s">
        <v>723</v>
      </c>
      <c r="B71" s="148">
        <v>0</v>
      </c>
      <c r="C71" s="148">
        <v>0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0"/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48">
        <v>0</v>
      </c>
      <c r="V71" s="148">
        <v>0</v>
      </c>
      <c r="W71" s="148">
        <v>0</v>
      </c>
      <c r="X71" s="148">
        <v>0</v>
      </c>
      <c r="Y71" s="148">
        <v>0</v>
      </c>
      <c r="Z71" s="148">
        <v>0</v>
      </c>
      <c r="AA71" s="10"/>
      <c r="AB71" s="148">
        <v>0</v>
      </c>
      <c r="AC71" s="148">
        <v>0</v>
      </c>
      <c r="AD71" s="148">
        <v>0</v>
      </c>
      <c r="AE71" s="148">
        <v>0</v>
      </c>
      <c r="AF71" s="148">
        <v>0</v>
      </c>
      <c r="AG71" s="148">
        <v>0</v>
      </c>
      <c r="AH71" s="148">
        <v>0</v>
      </c>
      <c r="AI71" s="148">
        <v>0</v>
      </c>
      <c r="AJ71" s="148">
        <v>0</v>
      </c>
      <c r="AK71" s="148">
        <v>0</v>
      </c>
      <c r="AL71" s="148">
        <v>0</v>
      </c>
      <c r="AM71" s="148">
        <v>0</v>
      </c>
      <c r="AN71" s="10"/>
    </row>
    <row r="72" spans="1:40" ht="14.4" x14ac:dyDescent="0.3">
      <c r="A72" s="147" t="s">
        <v>724</v>
      </c>
      <c r="B72" s="148">
        <v>0</v>
      </c>
      <c r="C72" s="148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0"/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0</v>
      </c>
      <c r="W72" s="148">
        <v>0</v>
      </c>
      <c r="X72" s="148">
        <v>0</v>
      </c>
      <c r="Y72" s="148">
        <v>0</v>
      </c>
      <c r="Z72" s="148">
        <v>0</v>
      </c>
      <c r="AA72" s="10"/>
      <c r="AB72" s="148">
        <v>0</v>
      </c>
      <c r="AC72" s="148">
        <v>0</v>
      </c>
      <c r="AD72" s="148">
        <v>0</v>
      </c>
      <c r="AE72" s="148">
        <v>0</v>
      </c>
      <c r="AF72" s="148">
        <v>0</v>
      </c>
      <c r="AG72" s="148">
        <v>0</v>
      </c>
      <c r="AH72" s="148">
        <v>0</v>
      </c>
      <c r="AI72" s="148">
        <v>0</v>
      </c>
      <c r="AJ72" s="148">
        <v>0</v>
      </c>
      <c r="AK72" s="148">
        <v>0</v>
      </c>
      <c r="AL72" s="148">
        <v>0</v>
      </c>
      <c r="AM72" s="148">
        <v>0</v>
      </c>
      <c r="AN72" s="10"/>
    </row>
    <row r="73" spans="1:40" ht="14.4" x14ac:dyDescent="0.3">
      <c r="A73" s="147" t="s">
        <v>725</v>
      </c>
      <c r="B73" s="148">
        <v>9.0345223848299696</v>
      </c>
      <c r="C73" s="148">
        <v>9.0345223848299696</v>
      </c>
      <c r="D73" s="148">
        <v>6482.7458417538201</v>
      </c>
      <c r="E73" s="148">
        <v>-336.42089761517002</v>
      </c>
      <c r="F73" s="148">
        <v>9.0345223848299696</v>
      </c>
      <c r="G73" s="148">
        <v>6153.7162417538002</v>
      </c>
      <c r="H73" s="148">
        <v>9.0345223848299696</v>
      </c>
      <c r="I73" s="148">
        <v>9.0345223848299696</v>
      </c>
      <c r="J73" s="148">
        <v>24225.205801802102</v>
      </c>
      <c r="K73" s="148">
        <v>9.0345223848299696</v>
      </c>
      <c r="L73" s="148">
        <v>9.0345223848299696</v>
      </c>
      <c r="M73" s="148">
        <v>12172.0709841924</v>
      </c>
      <c r="N73" s="10"/>
      <c r="O73" s="148">
        <v>9.0345223848299696</v>
      </c>
      <c r="P73" s="148">
        <v>9.0345223848299696</v>
      </c>
      <c r="Q73" s="148">
        <v>10006.198289218701</v>
      </c>
      <c r="R73" s="148">
        <v>-832.71686657350403</v>
      </c>
      <c r="S73" s="148">
        <v>9.0345223848299696</v>
      </c>
      <c r="T73" s="148">
        <v>10833.9066781536</v>
      </c>
      <c r="U73" s="148">
        <v>9.0345223848299696</v>
      </c>
      <c r="V73" s="148">
        <v>9.0345223848299696</v>
      </c>
      <c r="W73" s="148">
        <v>9985.1332891132897</v>
      </c>
      <c r="X73" s="148">
        <v>9.0345223848299696</v>
      </c>
      <c r="Y73" s="148">
        <v>9.0345223848299696</v>
      </c>
      <c r="Z73" s="148">
        <v>9985.1332890241792</v>
      </c>
      <c r="AA73" s="10"/>
      <c r="AB73" s="148">
        <v>9.0345223848299696</v>
      </c>
      <c r="AC73" s="148">
        <v>9.0345223848299696</v>
      </c>
      <c r="AD73" s="148">
        <v>1000.5004618309</v>
      </c>
      <c r="AE73" s="148">
        <v>-894.04707069850394</v>
      </c>
      <c r="AF73" s="148">
        <v>9.0345223848299696</v>
      </c>
      <c r="AG73" s="148">
        <v>1903.58205490714</v>
      </c>
      <c r="AH73" s="148">
        <v>9.0345223848299696</v>
      </c>
      <c r="AI73" s="148">
        <v>9.0345223848299696</v>
      </c>
      <c r="AJ73" s="148">
        <v>1000.5004618163</v>
      </c>
      <c r="AK73" s="148">
        <v>9.0345223848299696</v>
      </c>
      <c r="AL73" s="148">
        <v>9.0345223848299696</v>
      </c>
      <c r="AM73" s="148">
        <v>1000.50046181696</v>
      </c>
      <c r="AN73" s="10"/>
    </row>
    <row r="74" spans="1:40" ht="14.4" x14ac:dyDescent="0.3">
      <c r="A74" s="147" t="s">
        <v>726</v>
      </c>
      <c r="B74" s="148">
        <v>0</v>
      </c>
      <c r="C74" s="148">
        <v>0</v>
      </c>
      <c r="D74" s="148">
        <v>-949.19872405158401</v>
      </c>
      <c r="E74" s="148">
        <v>0</v>
      </c>
      <c r="F74" s="148">
        <v>0</v>
      </c>
      <c r="G74" s="148">
        <v>972.76589180703297</v>
      </c>
      <c r="H74" s="148">
        <v>0</v>
      </c>
      <c r="I74" s="148">
        <v>0</v>
      </c>
      <c r="J74" s="148">
        <v>-583.68656626714005</v>
      </c>
      <c r="K74" s="148">
        <v>0</v>
      </c>
      <c r="L74" s="148">
        <v>0</v>
      </c>
      <c r="M74" s="148">
        <v>560.11939851169802</v>
      </c>
      <c r="N74" s="10"/>
      <c r="O74" s="148">
        <v>0</v>
      </c>
      <c r="P74" s="148">
        <v>0</v>
      </c>
      <c r="Q74" s="148">
        <v>-948.986196184341</v>
      </c>
      <c r="R74" s="148">
        <v>0</v>
      </c>
      <c r="S74" s="148">
        <v>0</v>
      </c>
      <c r="T74" s="148">
        <v>838.62169190749705</v>
      </c>
      <c r="U74" s="148">
        <v>0</v>
      </c>
      <c r="V74" s="148">
        <v>0</v>
      </c>
      <c r="W74" s="148">
        <v>-240.051282295276</v>
      </c>
      <c r="X74" s="148">
        <v>0</v>
      </c>
      <c r="Y74" s="148">
        <v>0</v>
      </c>
      <c r="Z74" s="148">
        <v>350.41578657212</v>
      </c>
      <c r="AA74" s="10"/>
      <c r="AB74" s="148">
        <v>0</v>
      </c>
      <c r="AC74" s="148">
        <v>0</v>
      </c>
      <c r="AD74" s="148">
        <v>-1260.5563232043901</v>
      </c>
      <c r="AE74" s="148">
        <v>0</v>
      </c>
      <c r="AF74" s="148">
        <v>0</v>
      </c>
      <c r="AG74" s="148">
        <v>996.98973706042295</v>
      </c>
      <c r="AH74" s="148">
        <v>0</v>
      </c>
      <c r="AI74" s="148">
        <v>0</v>
      </c>
      <c r="AJ74" s="148">
        <v>-440.11113599407298</v>
      </c>
      <c r="AK74" s="148">
        <v>0</v>
      </c>
      <c r="AL74" s="148">
        <v>0</v>
      </c>
      <c r="AM74" s="148">
        <v>703.67772213805404</v>
      </c>
      <c r="AN74" s="10"/>
    </row>
    <row r="75" spans="1:40" ht="14.4" x14ac:dyDescent="0.3">
      <c r="A75" s="147" t="s">
        <v>727</v>
      </c>
      <c r="B75" s="148">
        <v>0</v>
      </c>
      <c r="C75" s="148">
        <v>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0"/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0</v>
      </c>
      <c r="X75" s="148">
        <v>0</v>
      </c>
      <c r="Y75" s="148">
        <v>0</v>
      </c>
      <c r="Z75" s="148">
        <v>0</v>
      </c>
      <c r="AA75" s="10"/>
      <c r="AB75" s="148">
        <v>0</v>
      </c>
      <c r="AC75" s="148">
        <v>0</v>
      </c>
      <c r="AD75" s="148">
        <v>0</v>
      </c>
      <c r="AE75" s="148">
        <v>311.57012710095199</v>
      </c>
      <c r="AF75" s="148">
        <v>-311.57012710095199</v>
      </c>
      <c r="AG75" s="148">
        <v>0</v>
      </c>
      <c r="AH75" s="148">
        <v>0</v>
      </c>
      <c r="AI75" s="148">
        <v>0</v>
      </c>
      <c r="AJ75" s="148">
        <v>0</v>
      </c>
      <c r="AK75" s="148">
        <v>0</v>
      </c>
      <c r="AL75" s="148">
        <v>0</v>
      </c>
      <c r="AM75" s="148">
        <v>0</v>
      </c>
      <c r="AN75" s="10"/>
    </row>
    <row r="76" spans="1:40" ht="14.4" x14ac:dyDescent="0.3">
      <c r="A76" s="147" t="s">
        <v>728</v>
      </c>
      <c r="B76" s="148">
        <v>0</v>
      </c>
      <c r="C76" s="148">
        <v>0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0"/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  <c r="X76" s="148">
        <v>0</v>
      </c>
      <c r="Y76" s="148">
        <v>0</v>
      </c>
      <c r="Z76" s="148">
        <v>0</v>
      </c>
      <c r="AA76" s="10"/>
      <c r="AB76" s="148">
        <v>0</v>
      </c>
      <c r="AC76" s="148">
        <v>0</v>
      </c>
      <c r="AD76" s="148">
        <v>0</v>
      </c>
      <c r="AE76" s="148">
        <v>0</v>
      </c>
      <c r="AF76" s="148">
        <v>0</v>
      </c>
      <c r="AG76" s="148">
        <v>0</v>
      </c>
      <c r="AH76" s="148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0"/>
    </row>
    <row r="77" spans="1:40" ht="14.4" x14ac:dyDescent="0.3">
      <c r="A77" s="147" t="s">
        <v>729</v>
      </c>
      <c r="B77" s="148">
        <v>9.0345223848299696</v>
      </c>
      <c r="C77" s="148">
        <v>9.0345223848299696</v>
      </c>
      <c r="D77" s="148">
        <v>5533.54711770223</v>
      </c>
      <c r="E77" s="148">
        <v>-336.42089761517002</v>
      </c>
      <c r="F77" s="148">
        <v>9.0345223848299696</v>
      </c>
      <c r="G77" s="148">
        <v>7126.4821335608403</v>
      </c>
      <c r="H77" s="148">
        <v>9.0345223848299696</v>
      </c>
      <c r="I77" s="148">
        <v>9.0345223848299696</v>
      </c>
      <c r="J77" s="148">
        <v>23641.519235535001</v>
      </c>
      <c r="K77" s="148">
        <v>9.0345223848299696</v>
      </c>
      <c r="L77" s="148">
        <v>9.0345223848299696</v>
      </c>
      <c r="M77" s="148">
        <v>12732.190382704101</v>
      </c>
      <c r="N77" s="10"/>
      <c r="O77" s="148">
        <v>9.0345223848299696</v>
      </c>
      <c r="P77" s="148">
        <v>9.0345223848299696</v>
      </c>
      <c r="Q77" s="148">
        <v>9057.2120930344099</v>
      </c>
      <c r="R77" s="148">
        <v>-832.71686657350403</v>
      </c>
      <c r="S77" s="148">
        <v>9.0345223848299696</v>
      </c>
      <c r="T77" s="148">
        <v>11672.5283700611</v>
      </c>
      <c r="U77" s="148">
        <v>9.0345223848299696</v>
      </c>
      <c r="V77" s="148">
        <v>9.0345223848299696</v>
      </c>
      <c r="W77" s="148">
        <v>9745.0820068180201</v>
      </c>
      <c r="X77" s="148">
        <v>9.0345223848299696</v>
      </c>
      <c r="Y77" s="148">
        <v>9.0345223848299696</v>
      </c>
      <c r="Z77" s="148">
        <v>10335.5490755963</v>
      </c>
      <c r="AA77" s="10"/>
      <c r="AB77" s="148">
        <v>9.0345223848299696</v>
      </c>
      <c r="AC77" s="148">
        <v>9.0345223848299696</v>
      </c>
      <c r="AD77" s="148">
        <v>-260.05586137349002</v>
      </c>
      <c r="AE77" s="148">
        <v>-582.47694359755099</v>
      </c>
      <c r="AF77" s="148">
        <v>-302.53560471612298</v>
      </c>
      <c r="AG77" s="148">
        <v>2900.5717919675699</v>
      </c>
      <c r="AH77" s="148">
        <v>9.0345223848299696</v>
      </c>
      <c r="AI77" s="148">
        <v>9.0345223848299696</v>
      </c>
      <c r="AJ77" s="148">
        <v>560.38932582223197</v>
      </c>
      <c r="AK77" s="148">
        <v>9.0345223848299696</v>
      </c>
      <c r="AL77" s="148">
        <v>9.0345223848299696</v>
      </c>
      <c r="AM77" s="148">
        <v>1704.1781839550199</v>
      </c>
      <c r="AN77" s="10"/>
    </row>
    <row r="78" spans="1:40" ht="14.4" x14ac:dyDescent="0.3">
      <c r="A78" s="147" t="s">
        <v>730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ht="14.4" x14ac:dyDescent="0.3">
      <c r="A79" s="147" t="s">
        <v>731</v>
      </c>
      <c r="B79" s="148">
        <v>43.021535165857003</v>
      </c>
      <c r="C79" s="148">
        <v>43.021535165857003</v>
      </c>
      <c r="D79" s="148">
        <v>43.021535165857003</v>
      </c>
      <c r="E79" s="148">
        <v>43.021535165857003</v>
      </c>
      <c r="F79" s="148">
        <v>43.021535165857003</v>
      </c>
      <c r="G79" s="148">
        <v>43.021535165857003</v>
      </c>
      <c r="H79" s="148">
        <v>43.021535165857003</v>
      </c>
      <c r="I79" s="148">
        <v>43.021535165857003</v>
      </c>
      <c r="J79" s="148">
        <v>43.021535165857003</v>
      </c>
      <c r="K79" s="148">
        <v>43.021535165857003</v>
      </c>
      <c r="L79" s="148">
        <v>43.021535165857003</v>
      </c>
      <c r="M79" s="148">
        <v>43.021535165857003</v>
      </c>
      <c r="N79" s="10"/>
      <c r="O79" s="148">
        <v>43.021535165857003</v>
      </c>
      <c r="P79" s="148">
        <v>43.021535165857003</v>
      </c>
      <c r="Q79" s="148">
        <v>43.021535165857003</v>
      </c>
      <c r="R79" s="148">
        <v>43.021535165857003</v>
      </c>
      <c r="S79" s="148">
        <v>43.021535165857003</v>
      </c>
      <c r="T79" s="148">
        <v>43.021535165857003</v>
      </c>
      <c r="U79" s="148">
        <v>43.021535165857003</v>
      </c>
      <c r="V79" s="148">
        <v>43.021535165857003</v>
      </c>
      <c r="W79" s="148">
        <v>43.021535165857003</v>
      </c>
      <c r="X79" s="148">
        <v>43.021535165857003</v>
      </c>
      <c r="Y79" s="148">
        <v>43.021535165857003</v>
      </c>
      <c r="Z79" s="148">
        <v>43.021535165857003</v>
      </c>
      <c r="AA79" s="10"/>
      <c r="AB79" s="148">
        <v>43.021535165857003</v>
      </c>
      <c r="AC79" s="148">
        <v>43.021535165857003</v>
      </c>
      <c r="AD79" s="148">
        <v>43.021535165857003</v>
      </c>
      <c r="AE79" s="148">
        <v>43.021535165857003</v>
      </c>
      <c r="AF79" s="148">
        <v>43.021535165857003</v>
      </c>
      <c r="AG79" s="148">
        <v>43.021535165857003</v>
      </c>
      <c r="AH79" s="148">
        <v>43.021535165857003</v>
      </c>
      <c r="AI79" s="148">
        <v>43.021535165857003</v>
      </c>
      <c r="AJ79" s="148">
        <v>43.021535165857003</v>
      </c>
      <c r="AK79" s="148">
        <v>43.021535165857003</v>
      </c>
      <c r="AL79" s="148">
        <v>43.021535165857003</v>
      </c>
      <c r="AM79" s="148">
        <v>43.021535165857003</v>
      </c>
      <c r="AN79" s="10"/>
    </row>
    <row r="80" spans="1:40" ht="14.4" x14ac:dyDescent="0.3">
      <c r="A80" s="147" t="s">
        <v>732</v>
      </c>
      <c r="B80" s="148">
        <v>50.954355886658902</v>
      </c>
      <c r="C80" s="148">
        <v>50.954355886658902</v>
      </c>
      <c r="D80" s="148">
        <v>50.954355886658902</v>
      </c>
      <c r="E80" s="148">
        <v>50.954355886658902</v>
      </c>
      <c r="F80" s="148">
        <v>50.954355886658902</v>
      </c>
      <c r="G80" s="148">
        <v>50.954355886658902</v>
      </c>
      <c r="H80" s="148">
        <v>50.954355886658902</v>
      </c>
      <c r="I80" s="148">
        <v>50.954355886658902</v>
      </c>
      <c r="J80" s="148">
        <v>50.954355886658902</v>
      </c>
      <c r="K80" s="148">
        <v>50.954355886658902</v>
      </c>
      <c r="L80" s="148">
        <v>50.954355886658902</v>
      </c>
      <c r="M80" s="148">
        <v>50.954355886658902</v>
      </c>
      <c r="N80" s="10"/>
      <c r="O80" s="148">
        <v>42.987689219992298</v>
      </c>
      <c r="P80" s="148">
        <v>42.987689219992298</v>
      </c>
      <c r="Q80" s="148">
        <v>42.987689219992298</v>
      </c>
      <c r="R80" s="148">
        <v>42.987689219992298</v>
      </c>
      <c r="S80" s="148">
        <v>42.987689219992298</v>
      </c>
      <c r="T80" s="148">
        <v>42.987689219992298</v>
      </c>
      <c r="U80" s="148">
        <v>42.987689219992298</v>
      </c>
      <c r="V80" s="148">
        <v>42.987689219992298</v>
      </c>
      <c r="W80" s="148">
        <v>42.987689219992298</v>
      </c>
      <c r="X80" s="148">
        <v>42.987689219992298</v>
      </c>
      <c r="Y80" s="148">
        <v>42.987689219992298</v>
      </c>
      <c r="Z80" s="148">
        <v>42.987689219992298</v>
      </c>
      <c r="AA80" s="10"/>
      <c r="AB80" s="148">
        <v>37.153522553325601</v>
      </c>
      <c r="AC80" s="148">
        <v>37.153522553325601</v>
      </c>
      <c r="AD80" s="148">
        <v>37.153522553325601</v>
      </c>
      <c r="AE80" s="148">
        <v>37.153522553325601</v>
      </c>
      <c r="AF80" s="148">
        <v>37.153522553325601</v>
      </c>
      <c r="AG80" s="148">
        <v>37.153522553325601</v>
      </c>
      <c r="AH80" s="148">
        <v>37.153522553325601</v>
      </c>
      <c r="AI80" s="148">
        <v>37.153522553325601</v>
      </c>
      <c r="AJ80" s="148">
        <v>37.153522553325601</v>
      </c>
      <c r="AK80" s="148">
        <v>37.153522553325601</v>
      </c>
      <c r="AL80" s="148">
        <v>37.153522553325601</v>
      </c>
      <c r="AM80" s="148">
        <v>37.153522553325601</v>
      </c>
      <c r="AN80" s="10"/>
    </row>
    <row r="81" spans="1:40" ht="14.4" x14ac:dyDescent="0.3">
      <c r="A81" s="147" t="s">
        <v>733</v>
      </c>
      <c r="B81" s="148">
        <v>0</v>
      </c>
      <c r="C81" s="148">
        <v>0</v>
      </c>
      <c r="D81" s="148">
        <v>4.2061400000000004</v>
      </c>
      <c r="E81" s="148">
        <v>0</v>
      </c>
      <c r="F81" s="148">
        <v>0</v>
      </c>
      <c r="G81" s="148">
        <v>4.2061400000000004</v>
      </c>
      <c r="H81" s="148">
        <v>0</v>
      </c>
      <c r="I81" s="148">
        <v>0</v>
      </c>
      <c r="J81" s="148">
        <v>4.2061400000000004</v>
      </c>
      <c r="K81" s="148">
        <v>0</v>
      </c>
      <c r="L81" s="148">
        <v>0</v>
      </c>
      <c r="M81" s="148">
        <v>4.2061400000000004</v>
      </c>
      <c r="N81" s="10"/>
      <c r="O81" s="148">
        <v>0</v>
      </c>
      <c r="P81" s="148">
        <v>0</v>
      </c>
      <c r="Q81" s="148">
        <v>4.2061400000000004</v>
      </c>
      <c r="R81" s="148">
        <v>0</v>
      </c>
      <c r="S81" s="148">
        <v>0</v>
      </c>
      <c r="T81" s="148">
        <v>4.2061400000000004</v>
      </c>
      <c r="U81" s="148">
        <v>0</v>
      </c>
      <c r="V81" s="148">
        <v>0</v>
      </c>
      <c r="W81" s="148">
        <v>4.2061400000000004</v>
      </c>
      <c r="X81" s="148">
        <v>0</v>
      </c>
      <c r="Y81" s="148">
        <v>0</v>
      </c>
      <c r="Z81" s="148">
        <v>4.2061400000000004</v>
      </c>
      <c r="AA81" s="10"/>
      <c r="AB81" s="148">
        <v>0</v>
      </c>
      <c r="AC81" s="148">
        <v>0</v>
      </c>
      <c r="AD81" s="148">
        <v>4.2061400000000004</v>
      </c>
      <c r="AE81" s="148">
        <v>0</v>
      </c>
      <c r="AF81" s="148">
        <v>0</v>
      </c>
      <c r="AG81" s="148">
        <v>4.2061400000000004</v>
      </c>
      <c r="AH81" s="148">
        <v>0</v>
      </c>
      <c r="AI81" s="148">
        <v>0</v>
      </c>
      <c r="AJ81" s="148">
        <v>4.2061400000000004</v>
      </c>
      <c r="AK81" s="148">
        <v>0</v>
      </c>
      <c r="AL81" s="148">
        <v>0</v>
      </c>
      <c r="AM81" s="148">
        <v>4.2061400000000004</v>
      </c>
      <c r="AN81" s="10"/>
    </row>
    <row r="82" spans="1:40" ht="14.4" x14ac:dyDescent="0.3">
      <c r="A82" s="147" t="s">
        <v>734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ht="14.4" x14ac:dyDescent="0.3">
      <c r="A83" s="147" t="s">
        <v>965</v>
      </c>
      <c r="B83" s="148">
        <v>0</v>
      </c>
      <c r="C83" s="148">
        <v>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0"/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48">
        <v>0</v>
      </c>
      <c r="V83" s="148">
        <v>0</v>
      </c>
      <c r="W83" s="148">
        <v>0</v>
      </c>
      <c r="X83" s="148">
        <v>0</v>
      </c>
      <c r="Y83" s="148">
        <v>0</v>
      </c>
      <c r="Z83" s="148">
        <v>0</v>
      </c>
      <c r="AA83" s="10"/>
      <c r="AB83" s="148">
        <v>0</v>
      </c>
      <c r="AC83" s="148">
        <v>0</v>
      </c>
      <c r="AD83" s="148">
        <v>0</v>
      </c>
      <c r="AE83" s="148">
        <v>0</v>
      </c>
      <c r="AF83" s="148">
        <v>0</v>
      </c>
      <c r="AG83" s="148">
        <v>0</v>
      </c>
      <c r="AH83" s="148">
        <v>0</v>
      </c>
      <c r="AI83" s="148">
        <v>0</v>
      </c>
      <c r="AJ83" s="148">
        <v>0</v>
      </c>
      <c r="AK83" s="148">
        <v>0</v>
      </c>
      <c r="AL83" s="148">
        <v>0</v>
      </c>
      <c r="AM83" s="148">
        <v>0</v>
      </c>
      <c r="AN83" s="10"/>
    </row>
    <row r="84" spans="1:40" ht="14.4" x14ac:dyDescent="0.3">
      <c r="A84" s="146" t="s">
        <v>966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ht="14.4" x14ac:dyDescent="0.3">
      <c r="A85" s="147" t="s">
        <v>967</v>
      </c>
      <c r="B85" s="148">
        <v>0</v>
      </c>
      <c r="C85" s="148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0"/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48">
        <v>0</v>
      </c>
      <c r="V85" s="148">
        <v>0</v>
      </c>
      <c r="W85" s="148">
        <v>0</v>
      </c>
      <c r="X85" s="148">
        <v>0</v>
      </c>
      <c r="Y85" s="148">
        <v>0</v>
      </c>
      <c r="Z85" s="148">
        <v>0</v>
      </c>
      <c r="AA85" s="10"/>
      <c r="AB85" s="148">
        <v>0</v>
      </c>
      <c r="AC85" s="148">
        <v>0</v>
      </c>
      <c r="AD85" s="148">
        <v>0</v>
      </c>
      <c r="AE85" s="148">
        <v>0</v>
      </c>
      <c r="AF85" s="148">
        <v>0</v>
      </c>
      <c r="AG85" s="148">
        <v>0</v>
      </c>
      <c r="AH85" s="148">
        <v>0</v>
      </c>
      <c r="AI85" s="148">
        <v>0</v>
      </c>
      <c r="AJ85" s="148">
        <v>0</v>
      </c>
      <c r="AK85" s="148">
        <v>0</v>
      </c>
      <c r="AL85" s="148">
        <v>0</v>
      </c>
      <c r="AM85" s="148">
        <v>0</v>
      </c>
      <c r="AN85" s="10"/>
    </row>
    <row r="86" spans="1:40" ht="14.4" x14ac:dyDescent="0.3">
      <c r="A86" s="147" t="s">
        <v>968</v>
      </c>
      <c r="B86" s="148">
        <v>0</v>
      </c>
      <c r="C86" s="148">
        <v>0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0"/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T86" s="148">
        <v>0</v>
      </c>
      <c r="U86" s="148">
        <v>0</v>
      </c>
      <c r="V86" s="148">
        <v>0</v>
      </c>
      <c r="W86" s="148">
        <v>0</v>
      </c>
      <c r="X86" s="148">
        <v>0</v>
      </c>
      <c r="Y86" s="148">
        <v>0</v>
      </c>
      <c r="Z86" s="148">
        <v>0</v>
      </c>
      <c r="AA86" s="10"/>
      <c r="AB86" s="148">
        <v>0</v>
      </c>
      <c r="AC86" s="148">
        <v>0</v>
      </c>
      <c r="AD86" s="148">
        <v>0</v>
      </c>
      <c r="AE86" s="148">
        <v>0</v>
      </c>
      <c r="AF86" s="148">
        <v>0</v>
      </c>
      <c r="AG86" s="148">
        <v>0</v>
      </c>
      <c r="AH86" s="148">
        <v>0</v>
      </c>
      <c r="AI86" s="148">
        <v>0</v>
      </c>
      <c r="AJ86" s="148">
        <v>0</v>
      </c>
      <c r="AK86" s="148">
        <v>0</v>
      </c>
      <c r="AL86" s="148">
        <v>0</v>
      </c>
      <c r="AM86" s="148">
        <v>0</v>
      </c>
      <c r="AN86" s="10"/>
    </row>
    <row r="87" spans="1:40" ht="14.4" x14ac:dyDescent="0.3">
      <c r="A87" s="147" t="s">
        <v>969</v>
      </c>
      <c r="B87" s="148">
        <v>10393.028243503901</v>
      </c>
      <c r="C87" s="148">
        <v>6552.4341323889303</v>
      </c>
      <c r="D87" s="148">
        <v>3807.4981195812302</v>
      </c>
      <c r="E87" s="148">
        <v>2080.9939614039399</v>
      </c>
      <c r="F87" s="148">
        <v>5886.1139458839398</v>
      </c>
      <c r="G87" s="148">
        <v>4233.1727728662099</v>
      </c>
      <c r="H87" s="148">
        <v>6719.2516240925397</v>
      </c>
      <c r="I87" s="148">
        <v>6690.3648631955602</v>
      </c>
      <c r="J87" s="148">
        <v>3095.7326807741802</v>
      </c>
      <c r="K87" s="148">
        <v>2077.6370914570398</v>
      </c>
      <c r="L87" s="148">
        <v>4488.6087670208399</v>
      </c>
      <c r="M87" s="148">
        <v>4597.6028644056696</v>
      </c>
      <c r="N87" s="10"/>
      <c r="O87" s="148">
        <v>8179.7693001297403</v>
      </c>
      <c r="P87" s="148">
        <v>6939.2994878434101</v>
      </c>
      <c r="Q87" s="148">
        <v>2032.9247642729999</v>
      </c>
      <c r="R87" s="148">
        <v>1244.22483532195</v>
      </c>
      <c r="S87" s="148">
        <v>3964.6880990385798</v>
      </c>
      <c r="T87" s="148">
        <v>3217.54589058787</v>
      </c>
      <c r="U87" s="148">
        <v>6409.70841203076</v>
      </c>
      <c r="V87" s="148">
        <v>6718.2972622336101</v>
      </c>
      <c r="W87" s="148">
        <v>633.15412778693201</v>
      </c>
      <c r="X87" s="148">
        <v>2234.1245169244999</v>
      </c>
      <c r="Y87" s="148">
        <v>4344.1738258947098</v>
      </c>
      <c r="Z87" s="148">
        <v>4259.0834951839497</v>
      </c>
      <c r="AA87" s="10"/>
      <c r="AB87" s="148">
        <v>8912.0671925115403</v>
      </c>
      <c r="AC87" s="148">
        <v>7696.7445900881803</v>
      </c>
      <c r="AD87" s="148">
        <v>2150.6297465182301</v>
      </c>
      <c r="AE87" s="148">
        <v>1465.08073191319</v>
      </c>
      <c r="AF87" s="148">
        <v>3952.4833234728098</v>
      </c>
      <c r="AG87" s="148">
        <v>2552.6944053303901</v>
      </c>
      <c r="AH87" s="148">
        <v>6289.7584106622899</v>
      </c>
      <c r="AI87" s="148">
        <v>7233.06404741193</v>
      </c>
      <c r="AJ87" s="148">
        <v>1325.5698200051499</v>
      </c>
      <c r="AK87" s="148">
        <v>1986.77718427892</v>
      </c>
      <c r="AL87" s="148">
        <v>3996.9227334239699</v>
      </c>
      <c r="AM87" s="148">
        <v>3369.87440861492</v>
      </c>
      <c r="AN87" s="10"/>
    </row>
    <row r="88" spans="1:40" ht="14.4" x14ac:dyDescent="0.3">
      <c r="A88" s="147" t="s">
        <v>970</v>
      </c>
      <c r="B88" s="148">
        <v>60622.439066561099</v>
      </c>
      <c r="C88" s="148">
        <v>60622.439066561099</v>
      </c>
      <c r="D88" s="148">
        <v>60622.439066560801</v>
      </c>
      <c r="E88" s="148">
        <v>60622.439066560801</v>
      </c>
      <c r="F88" s="148">
        <v>60622.439066560801</v>
      </c>
      <c r="G88" s="148">
        <v>60622.439066560401</v>
      </c>
      <c r="H88" s="148">
        <v>60622.439066560801</v>
      </c>
      <c r="I88" s="148">
        <v>60622.439066561601</v>
      </c>
      <c r="J88" s="148">
        <v>60622.4390665627</v>
      </c>
      <c r="K88" s="148">
        <v>60622.439066565203</v>
      </c>
      <c r="L88" s="148">
        <v>60622.439066569597</v>
      </c>
      <c r="M88" s="148">
        <v>60622.439066573999</v>
      </c>
      <c r="N88" s="10"/>
      <c r="O88" s="148">
        <v>50176.994017639001</v>
      </c>
      <c r="P88" s="148">
        <v>50176.994017632998</v>
      </c>
      <c r="Q88" s="148">
        <v>50176.994017609402</v>
      </c>
      <c r="R88" s="148">
        <v>50176.994017596699</v>
      </c>
      <c r="S88" s="148">
        <v>50176.994017587902</v>
      </c>
      <c r="T88" s="148">
        <v>50176.994017567697</v>
      </c>
      <c r="U88" s="148">
        <v>50176.994017556499</v>
      </c>
      <c r="V88" s="148">
        <v>50176.994017550503</v>
      </c>
      <c r="W88" s="148">
        <v>50176.994017502402</v>
      </c>
      <c r="X88" s="148">
        <v>50176.994017447898</v>
      </c>
      <c r="Y88" s="148">
        <v>50176.994017370896</v>
      </c>
      <c r="Z88" s="148">
        <v>50176.994017249002</v>
      </c>
      <c r="AA88" s="10"/>
      <c r="AB88" s="148">
        <v>50931.6665957023</v>
      </c>
      <c r="AC88" s="148">
        <v>50931.666595562201</v>
      </c>
      <c r="AD88" s="148">
        <v>50931.666595587398</v>
      </c>
      <c r="AE88" s="148">
        <v>50931.666595322597</v>
      </c>
      <c r="AF88" s="148">
        <v>50931.666595069102</v>
      </c>
      <c r="AG88" s="148">
        <v>50931.666594952803</v>
      </c>
      <c r="AH88" s="148">
        <v>50931.666594727998</v>
      </c>
      <c r="AI88" s="148">
        <v>50931.666594522401</v>
      </c>
      <c r="AJ88" s="148">
        <v>50931.666594430797</v>
      </c>
      <c r="AK88" s="148">
        <v>50931.666594322996</v>
      </c>
      <c r="AL88" s="148">
        <v>50931.6665942326</v>
      </c>
      <c r="AM88" s="148">
        <v>50931.666594231501</v>
      </c>
      <c r="AN88" s="10"/>
    </row>
    <row r="89" spans="1:40" ht="14.4" x14ac:dyDescent="0.3">
      <c r="A89" s="147" t="s">
        <v>971</v>
      </c>
      <c r="B89" s="148">
        <v>282984.25314496999</v>
      </c>
      <c r="C89" s="148">
        <v>282984.25314496999</v>
      </c>
      <c r="D89" s="148">
        <v>282984.25314496999</v>
      </c>
      <c r="E89" s="148">
        <v>282984.25314496999</v>
      </c>
      <c r="F89" s="148">
        <v>282984.25314496999</v>
      </c>
      <c r="G89" s="148">
        <v>282984.25314496999</v>
      </c>
      <c r="H89" s="148">
        <v>282984.25314497203</v>
      </c>
      <c r="I89" s="148">
        <v>282984.25314497499</v>
      </c>
      <c r="J89" s="148">
        <v>282984.25314498198</v>
      </c>
      <c r="K89" s="148">
        <v>282984.253144991</v>
      </c>
      <c r="L89" s="148">
        <v>282984.25314500899</v>
      </c>
      <c r="M89" s="148">
        <v>282984.25314502697</v>
      </c>
      <c r="N89" s="10"/>
      <c r="O89" s="148">
        <v>252285.039499023</v>
      </c>
      <c r="P89" s="148">
        <v>252285.03949899899</v>
      </c>
      <c r="Q89" s="148">
        <v>252285.03949888199</v>
      </c>
      <c r="R89" s="148">
        <v>252285.039498831</v>
      </c>
      <c r="S89" s="148">
        <v>252285.039498795</v>
      </c>
      <c r="T89" s="148">
        <v>252285.03949867899</v>
      </c>
      <c r="U89" s="148">
        <v>252285.039498634</v>
      </c>
      <c r="V89" s="148">
        <v>252285.03949860999</v>
      </c>
      <c r="W89" s="148">
        <v>252285.03949838001</v>
      </c>
      <c r="X89" s="148">
        <v>252285.039498161</v>
      </c>
      <c r="Y89" s="148">
        <v>252285.03949785299</v>
      </c>
      <c r="Z89" s="148">
        <v>252285.03949734999</v>
      </c>
      <c r="AA89" s="10"/>
      <c r="AB89" s="148">
        <v>257949.43749529199</v>
      </c>
      <c r="AC89" s="148">
        <v>257949.43749473101</v>
      </c>
      <c r="AD89" s="148">
        <v>257949.437494852</v>
      </c>
      <c r="AE89" s="148">
        <v>257949.43749379</v>
      </c>
      <c r="AF89" s="148">
        <v>257949.43749277401</v>
      </c>
      <c r="AG89" s="148">
        <v>257949.43749233999</v>
      </c>
      <c r="AH89" s="148">
        <v>257949.43749143899</v>
      </c>
      <c r="AI89" s="148">
        <v>257949.437490615</v>
      </c>
      <c r="AJ89" s="148">
        <v>257949.43749027501</v>
      </c>
      <c r="AK89" s="148">
        <v>257949.437489843</v>
      </c>
      <c r="AL89" s="148">
        <v>257949.43748948001</v>
      </c>
      <c r="AM89" s="148">
        <v>257949.437489495</v>
      </c>
      <c r="AN89" s="10"/>
    </row>
    <row r="90" spans="1:40" ht="14.4" x14ac:dyDescent="0.3">
      <c r="A90" s="147" t="s">
        <v>972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4.4" x14ac:dyDescent="0.3">
      <c r="A91" s="147" t="s">
        <v>743</v>
      </c>
      <c r="B91" s="148">
        <v>0</v>
      </c>
      <c r="C91" s="148">
        <v>0</v>
      </c>
      <c r="D91" s="148">
        <v>1</v>
      </c>
      <c r="E91" s="148">
        <v>0</v>
      </c>
      <c r="F91" s="148">
        <v>0</v>
      </c>
      <c r="G91" s="148">
        <v>1</v>
      </c>
      <c r="H91" s="148">
        <v>0</v>
      </c>
      <c r="I91" s="148">
        <v>0</v>
      </c>
      <c r="J91" s="148">
        <v>1</v>
      </c>
      <c r="K91" s="148">
        <v>0</v>
      </c>
      <c r="L91" s="148">
        <v>0</v>
      </c>
      <c r="M91" s="148">
        <v>1</v>
      </c>
      <c r="N91" s="10"/>
      <c r="O91" s="148">
        <v>0</v>
      </c>
      <c r="P91" s="148">
        <v>0</v>
      </c>
      <c r="Q91" s="148">
        <v>1</v>
      </c>
      <c r="R91" s="148">
        <v>0</v>
      </c>
      <c r="S91" s="148">
        <v>0</v>
      </c>
      <c r="T91" s="148">
        <v>1</v>
      </c>
      <c r="U91" s="148">
        <v>0</v>
      </c>
      <c r="V91" s="148">
        <v>0</v>
      </c>
      <c r="W91" s="148">
        <v>1</v>
      </c>
      <c r="X91" s="148">
        <v>0</v>
      </c>
      <c r="Y91" s="148">
        <v>0</v>
      </c>
      <c r="Z91" s="148">
        <v>1</v>
      </c>
      <c r="AA91" s="10"/>
      <c r="AB91" s="148">
        <v>0</v>
      </c>
      <c r="AC91" s="148">
        <v>0</v>
      </c>
      <c r="AD91" s="148">
        <v>1</v>
      </c>
      <c r="AE91" s="148">
        <v>0</v>
      </c>
      <c r="AF91" s="148">
        <v>0</v>
      </c>
      <c r="AG91" s="148">
        <v>1</v>
      </c>
      <c r="AH91" s="148">
        <v>0</v>
      </c>
      <c r="AI91" s="148">
        <v>0</v>
      </c>
      <c r="AJ91" s="148">
        <v>1</v>
      </c>
      <c r="AK91" s="148">
        <v>0</v>
      </c>
      <c r="AL91" s="148">
        <v>0</v>
      </c>
      <c r="AM91" s="148">
        <v>1</v>
      </c>
      <c r="AN91" s="10"/>
    </row>
    <row r="92" spans="1:40" ht="14.4" x14ac:dyDescent="0.3">
      <c r="A92" s="147" t="s">
        <v>973</v>
      </c>
      <c r="B92" s="148">
        <v>0</v>
      </c>
      <c r="C92" s="148">
        <v>0</v>
      </c>
      <c r="D92" s="148">
        <v>1</v>
      </c>
      <c r="E92" s="148">
        <v>0</v>
      </c>
      <c r="F92" s="148">
        <v>0</v>
      </c>
      <c r="G92" s="148">
        <v>1</v>
      </c>
      <c r="H92" s="148">
        <v>0</v>
      </c>
      <c r="I92" s="148">
        <v>0</v>
      </c>
      <c r="J92" s="148">
        <v>1</v>
      </c>
      <c r="K92" s="148">
        <v>0</v>
      </c>
      <c r="L92" s="148">
        <v>0</v>
      </c>
      <c r="M92" s="148">
        <v>1</v>
      </c>
      <c r="N92" s="10"/>
      <c r="O92" s="148">
        <v>0</v>
      </c>
      <c r="P92" s="148">
        <v>0</v>
      </c>
      <c r="Q92" s="148">
        <v>1</v>
      </c>
      <c r="R92" s="148">
        <v>0</v>
      </c>
      <c r="S92" s="148">
        <v>0</v>
      </c>
      <c r="T92" s="148">
        <v>1</v>
      </c>
      <c r="U92" s="148">
        <v>0</v>
      </c>
      <c r="V92" s="148">
        <v>0</v>
      </c>
      <c r="W92" s="148">
        <v>1</v>
      </c>
      <c r="X92" s="148">
        <v>0</v>
      </c>
      <c r="Y92" s="148">
        <v>0</v>
      </c>
      <c r="Z92" s="148">
        <v>1</v>
      </c>
      <c r="AA92" s="10"/>
      <c r="AB92" s="148">
        <v>0</v>
      </c>
      <c r="AC92" s="148">
        <v>0</v>
      </c>
      <c r="AD92" s="148">
        <v>1</v>
      </c>
      <c r="AE92" s="148">
        <v>0</v>
      </c>
      <c r="AF92" s="148">
        <v>0</v>
      </c>
      <c r="AG92" s="148">
        <v>1</v>
      </c>
      <c r="AH92" s="148">
        <v>0</v>
      </c>
      <c r="AI92" s="148">
        <v>0</v>
      </c>
      <c r="AJ92" s="148">
        <v>1</v>
      </c>
      <c r="AK92" s="148">
        <v>0</v>
      </c>
      <c r="AL92" s="148">
        <v>0</v>
      </c>
      <c r="AM92" s="148">
        <v>1</v>
      </c>
      <c r="AN92" s="10"/>
    </row>
    <row r="93" spans="1:40" ht="14.4" x14ac:dyDescent="0.3">
      <c r="A93" s="147" t="s">
        <v>974</v>
      </c>
      <c r="B93" s="148">
        <v>0</v>
      </c>
      <c r="C93" s="148">
        <v>0</v>
      </c>
      <c r="D93" s="148">
        <v>20752.960495474101</v>
      </c>
      <c r="E93" s="148">
        <v>0</v>
      </c>
      <c r="F93" s="148">
        <v>0</v>
      </c>
      <c r="G93" s="148">
        <v>32953.241175628202</v>
      </c>
      <c r="H93" s="148">
        <v>0</v>
      </c>
      <c r="I93" s="148">
        <v>0</v>
      </c>
      <c r="J93" s="148">
        <v>49458.590343690499</v>
      </c>
      <c r="K93" s="148">
        <v>0</v>
      </c>
      <c r="L93" s="148">
        <v>0</v>
      </c>
      <c r="M93" s="148">
        <v>60622.439066573999</v>
      </c>
      <c r="N93" s="10"/>
      <c r="O93" s="148">
        <v>0</v>
      </c>
      <c r="P93" s="148">
        <v>0</v>
      </c>
      <c r="Q93" s="148">
        <v>17151.993552246098</v>
      </c>
      <c r="R93" s="148">
        <v>0</v>
      </c>
      <c r="S93" s="148">
        <v>0</v>
      </c>
      <c r="T93" s="148">
        <v>25578.452377194499</v>
      </c>
      <c r="U93" s="148">
        <v>0</v>
      </c>
      <c r="V93" s="148">
        <v>0</v>
      </c>
      <c r="W93" s="148">
        <v>39339.6121792458</v>
      </c>
      <c r="X93" s="148">
        <v>0</v>
      </c>
      <c r="Y93" s="148">
        <v>0</v>
      </c>
      <c r="Z93" s="148">
        <v>50176.994017249002</v>
      </c>
      <c r="AA93" s="10"/>
      <c r="AB93" s="148">
        <v>0</v>
      </c>
      <c r="AC93" s="148">
        <v>0</v>
      </c>
      <c r="AD93" s="148">
        <v>18759.441529117899</v>
      </c>
      <c r="AE93" s="148">
        <v>0</v>
      </c>
      <c r="AF93" s="148">
        <v>0</v>
      </c>
      <c r="AG93" s="148">
        <v>26729.699989834298</v>
      </c>
      <c r="AH93" s="148">
        <v>0</v>
      </c>
      <c r="AI93" s="148">
        <v>0</v>
      </c>
      <c r="AJ93" s="148">
        <v>41578.0922679137</v>
      </c>
      <c r="AK93" s="148">
        <v>0</v>
      </c>
      <c r="AL93" s="148">
        <v>0</v>
      </c>
      <c r="AM93" s="148">
        <v>50931.666594231501</v>
      </c>
      <c r="AN93" s="10"/>
    </row>
    <row r="94" spans="1:40" ht="14.4" x14ac:dyDescent="0.3">
      <c r="A94" s="147" t="s">
        <v>975</v>
      </c>
      <c r="B94" s="148">
        <v>0</v>
      </c>
      <c r="C94" s="148">
        <v>0</v>
      </c>
      <c r="D94" s="148">
        <v>92443.537750000003</v>
      </c>
      <c r="E94" s="148">
        <v>0</v>
      </c>
      <c r="F94" s="148">
        <v>0</v>
      </c>
      <c r="G94" s="148">
        <v>153935.03831</v>
      </c>
      <c r="H94" s="148">
        <v>0</v>
      </c>
      <c r="I94" s="148">
        <v>0</v>
      </c>
      <c r="J94" s="148">
        <v>228257.01989915699</v>
      </c>
      <c r="K94" s="148">
        <v>0</v>
      </c>
      <c r="L94" s="148">
        <v>0</v>
      </c>
      <c r="M94" s="148">
        <v>282984.25314502697</v>
      </c>
      <c r="N94" s="10"/>
      <c r="O94" s="148">
        <v>0</v>
      </c>
      <c r="P94" s="148">
        <v>0</v>
      </c>
      <c r="Q94" s="148">
        <v>81467.143076987195</v>
      </c>
      <c r="R94" s="148">
        <v>0</v>
      </c>
      <c r="S94" s="148">
        <v>0</v>
      </c>
      <c r="T94" s="148">
        <v>128051.06564776201</v>
      </c>
      <c r="U94" s="148">
        <v>0</v>
      </c>
      <c r="V94" s="148">
        <v>0</v>
      </c>
      <c r="W94" s="148">
        <v>196033.882549606</v>
      </c>
      <c r="X94" s="148">
        <v>0</v>
      </c>
      <c r="Y94" s="148">
        <v>0</v>
      </c>
      <c r="Z94" s="148">
        <v>252285.03949734999</v>
      </c>
      <c r="AA94" s="10"/>
      <c r="AB94" s="148">
        <v>0</v>
      </c>
      <c r="AC94" s="148">
        <v>0</v>
      </c>
      <c r="AD94" s="148">
        <v>88625.169711291906</v>
      </c>
      <c r="AE94" s="148">
        <v>0</v>
      </c>
      <c r="AF94" s="148">
        <v>0</v>
      </c>
      <c r="AG94" s="148">
        <v>134040.85671155</v>
      </c>
      <c r="AH94" s="148">
        <v>0</v>
      </c>
      <c r="AI94" s="148">
        <v>0</v>
      </c>
      <c r="AJ94" s="148">
        <v>207013.297322486</v>
      </c>
      <c r="AK94" s="148">
        <v>0</v>
      </c>
      <c r="AL94" s="148">
        <v>0</v>
      </c>
      <c r="AM94" s="148">
        <v>257949.437489495</v>
      </c>
      <c r="AN94" s="10"/>
    </row>
    <row r="95" spans="1:40" ht="10.199999999999999" x14ac:dyDescent="0.2">
      <c r="A95" s="154" t="s">
        <v>976</v>
      </c>
      <c r="B95" s="153">
        <v>0</v>
      </c>
      <c r="C95" s="153">
        <v>0</v>
      </c>
      <c r="D95" s="153">
        <v>0.224493361035115</v>
      </c>
      <c r="E95" s="153">
        <v>0</v>
      </c>
      <c r="F95" s="153">
        <v>0</v>
      </c>
      <c r="G95" s="153">
        <v>0.214072387530548</v>
      </c>
      <c r="H95" s="153">
        <v>0</v>
      </c>
      <c r="I95" s="153">
        <v>0</v>
      </c>
      <c r="J95" s="153">
        <v>0.21667938346667701</v>
      </c>
      <c r="K95" s="153">
        <v>0</v>
      </c>
      <c r="L95" s="153">
        <v>0</v>
      </c>
      <c r="M95" s="153">
        <v>0.21422548566865099</v>
      </c>
      <c r="N95" s="153"/>
      <c r="O95" s="153">
        <v>0</v>
      </c>
      <c r="P95" s="153">
        <v>0</v>
      </c>
      <c r="Q95" s="153">
        <v>0.21053878784036101</v>
      </c>
      <c r="R95" s="153">
        <v>0</v>
      </c>
      <c r="S95" s="153">
        <v>0</v>
      </c>
      <c r="T95" s="153">
        <v>0.199751968074633</v>
      </c>
      <c r="U95" s="153">
        <v>0</v>
      </c>
      <c r="V95" s="153">
        <v>0</v>
      </c>
      <c r="W95" s="153">
        <v>0.20067761586720001</v>
      </c>
      <c r="X95" s="153">
        <v>0</v>
      </c>
      <c r="Y95" s="153">
        <v>0</v>
      </c>
      <c r="Z95" s="153">
        <v>0.19889008923089899</v>
      </c>
      <c r="AA95" s="153"/>
      <c r="AB95" s="153">
        <v>0</v>
      </c>
      <c r="AC95" s="153">
        <v>0</v>
      </c>
      <c r="AD95" s="153">
        <v>0.211671713467283</v>
      </c>
      <c r="AE95" s="153">
        <v>0</v>
      </c>
      <c r="AF95" s="153">
        <v>0</v>
      </c>
      <c r="AG95" s="153">
        <v>0.199414571389643</v>
      </c>
      <c r="AH95" s="153">
        <v>0</v>
      </c>
      <c r="AI95" s="153">
        <v>0</v>
      </c>
      <c r="AJ95" s="153">
        <v>0.200847447027246</v>
      </c>
      <c r="AK95" s="153">
        <v>0</v>
      </c>
      <c r="AL95" s="153">
        <v>0</v>
      </c>
      <c r="AM95" s="153">
        <v>0.197448256099824</v>
      </c>
      <c r="AN95" s="153"/>
    </row>
    <row r="96" spans="1:40" ht="10.199999999999999" x14ac:dyDescent="0.2">
      <c r="A96" s="154" t="s">
        <v>977</v>
      </c>
      <c r="B96" s="153">
        <v>0</v>
      </c>
      <c r="C96" s="153">
        <v>0</v>
      </c>
      <c r="D96" s="153">
        <v>0.21422548566864699</v>
      </c>
      <c r="E96" s="153">
        <v>0</v>
      </c>
      <c r="F96" s="153">
        <v>0</v>
      </c>
      <c r="G96" s="153">
        <v>0.21422548566864599</v>
      </c>
      <c r="H96" s="153">
        <v>0</v>
      </c>
      <c r="I96" s="153">
        <v>0</v>
      </c>
      <c r="J96" s="153">
        <v>0.21422548566864499</v>
      </c>
      <c r="K96" s="153">
        <v>0</v>
      </c>
      <c r="L96" s="153">
        <v>0</v>
      </c>
      <c r="M96" s="153">
        <v>0.21422548566865099</v>
      </c>
      <c r="N96" s="153"/>
      <c r="O96" s="153">
        <v>0</v>
      </c>
      <c r="P96" s="153">
        <v>0</v>
      </c>
      <c r="Q96" s="153">
        <v>0.19889008923112</v>
      </c>
      <c r="R96" s="153">
        <v>0</v>
      </c>
      <c r="S96" s="153">
        <v>0</v>
      </c>
      <c r="T96" s="153">
        <v>0.19889008923111501</v>
      </c>
      <c r="U96" s="153">
        <v>0</v>
      </c>
      <c r="V96" s="153">
        <v>0</v>
      </c>
      <c r="W96" s="153">
        <v>0.198890089231091</v>
      </c>
      <c r="X96" s="153">
        <v>0</v>
      </c>
      <c r="Y96" s="153">
        <v>0</v>
      </c>
      <c r="Z96" s="153">
        <v>0.19889008923089899</v>
      </c>
      <c r="AA96" s="153"/>
      <c r="AB96" s="153">
        <v>0</v>
      </c>
      <c r="AC96" s="153">
        <v>0</v>
      </c>
      <c r="AD96" s="153">
        <v>0.19744825610097999</v>
      </c>
      <c r="AE96" s="153">
        <v>0</v>
      </c>
      <c r="AF96" s="153">
        <v>0</v>
      </c>
      <c r="AG96" s="153">
        <v>0.197448256100443</v>
      </c>
      <c r="AH96" s="153">
        <v>0</v>
      </c>
      <c r="AI96" s="153">
        <v>0</v>
      </c>
      <c r="AJ96" s="153">
        <v>0.1974482561</v>
      </c>
      <c r="AK96" s="153">
        <v>0</v>
      </c>
      <c r="AL96" s="153">
        <v>0</v>
      </c>
      <c r="AM96" s="153">
        <v>0.197448256099824</v>
      </c>
      <c r="AN96" s="153"/>
    </row>
    <row r="97" spans="1:40" ht="14.4" x14ac:dyDescent="0.3">
      <c r="A97" s="147" t="s">
        <v>978</v>
      </c>
      <c r="B97" s="148">
        <v>0</v>
      </c>
      <c r="C97" s="148">
        <v>0</v>
      </c>
      <c r="D97" s="148">
        <v>19803.761771421701</v>
      </c>
      <c r="E97" s="148">
        <v>0</v>
      </c>
      <c r="F97" s="148">
        <v>0</v>
      </c>
      <c r="G97" s="148">
        <v>32976.808343381403</v>
      </c>
      <c r="H97" s="148">
        <v>0</v>
      </c>
      <c r="I97" s="148">
        <v>0</v>
      </c>
      <c r="J97" s="148">
        <v>48898.470945174697</v>
      </c>
      <c r="K97" s="148">
        <v>0</v>
      </c>
      <c r="L97" s="148">
        <v>0</v>
      </c>
      <c r="M97" s="148">
        <v>60622.439066573999</v>
      </c>
      <c r="N97" s="10"/>
      <c r="O97" s="148">
        <v>0</v>
      </c>
      <c r="P97" s="148">
        <v>0</v>
      </c>
      <c r="Q97" s="148">
        <v>16203.007355986399</v>
      </c>
      <c r="R97" s="148">
        <v>0</v>
      </c>
      <c r="S97" s="148">
        <v>0</v>
      </c>
      <c r="T97" s="148">
        <v>25468.0878728227</v>
      </c>
      <c r="U97" s="148">
        <v>0</v>
      </c>
      <c r="V97" s="148">
        <v>0</v>
      </c>
      <c r="W97" s="148">
        <v>38989.196392608603</v>
      </c>
      <c r="X97" s="148">
        <v>0</v>
      </c>
      <c r="Y97" s="148">
        <v>0</v>
      </c>
      <c r="Z97" s="148">
        <v>50176.994017249002</v>
      </c>
      <c r="AA97" s="10"/>
      <c r="AB97" s="148">
        <v>0</v>
      </c>
      <c r="AC97" s="148">
        <v>0</v>
      </c>
      <c r="AD97" s="148">
        <v>17498.885206147999</v>
      </c>
      <c r="AE97" s="148">
        <v>0</v>
      </c>
      <c r="AF97" s="148">
        <v>0</v>
      </c>
      <c r="AG97" s="148">
        <v>26466.1334039049</v>
      </c>
      <c r="AH97" s="148">
        <v>0</v>
      </c>
      <c r="AI97" s="148">
        <v>0</v>
      </c>
      <c r="AJ97" s="148">
        <v>40874.414545835702</v>
      </c>
      <c r="AK97" s="148">
        <v>0</v>
      </c>
      <c r="AL97" s="148">
        <v>0</v>
      </c>
      <c r="AM97" s="148">
        <v>50931.666594231501</v>
      </c>
      <c r="AN97" s="10"/>
    </row>
    <row r="98" spans="1:40" ht="14.4" x14ac:dyDescent="0.3">
      <c r="A98" s="147" t="s">
        <v>979</v>
      </c>
      <c r="B98" s="148">
        <v>0</v>
      </c>
      <c r="C98" s="148">
        <v>0</v>
      </c>
      <c r="D98" s="148">
        <v>-949.19872405241404</v>
      </c>
      <c r="E98" s="148">
        <v>0</v>
      </c>
      <c r="F98" s="148">
        <v>0</v>
      </c>
      <c r="G98" s="148">
        <v>23.5671677531863</v>
      </c>
      <c r="H98" s="148">
        <v>0</v>
      </c>
      <c r="I98" s="148">
        <v>0</v>
      </c>
      <c r="J98" s="148">
        <v>-560.119398515787</v>
      </c>
      <c r="K98" s="148">
        <v>0</v>
      </c>
      <c r="L98" s="148">
        <v>0</v>
      </c>
      <c r="M98" s="148">
        <v>-7.2759576141834202E-12</v>
      </c>
      <c r="N98" s="10"/>
      <c r="O98" s="148">
        <v>0</v>
      </c>
      <c r="P98" s="148">
        <v>0</v>
      </c>
      <c r="Q98" s="148">
        <v>-948.98619625969502</v>
      </c>
      <c r="R98" s="148">
        <v>0</v>
      </c>
      <c r="S98" s="148">
        <v>0</v>
      </c>
      <c r="T98" s="148">
        <v>-110.36450437180601</v>
      </c>
      <c r="U98" s="148">
        <v>0</v>
      </c>
      <c r="V98" s="148">
        <v>0</v>
      </c>
      <c r="W98" s="148">
        <v>-350.41578663719702</v>
      </c>
      <c r="X98" s="148">
        <v>0</v>
      </c>
      <c r="Y98" s="148">
        <v>0</v>
      </c>
      <c r="Z98" s="148">
        <v>-1.45519152283668E-11</v>
      </c>
      <c r="AA98" s="10"/>
      <c r="AB98" s="148">
        <v>0</v>
      </c>
      <c r="AC98" s="148">
        <v>0</v>
      </c>
      <c r="AD98" s="148">
        <v>-1260.5563229699101</v>
      </c>
      <c r="AE98" s="148">
        <v>0</v>
      </c>
      <c r="AF98" s="148">
        <v>0</v>
      </c>
      <c r="AG98" s="148">
        <v>-263.56658592943398</v>
      </c>
      <c r="AH98" s="148">
        <v>0</v>
      </c>
      <c r="AI98" s="148">
        <v>0</v>
      </c>
      <c r="AJ98" s="148">
        <v>-703.67772207796202</v>
      </c>
      <c r="AK98" s="148">
        <v>0</v>
      </c>
      <c r="AL98" s="148">
        <v>0</v>
      </c>
      <c r="AM98" s="148">
        <v>0</v>
      </c>
      <c r="AN98" s="10"/>
    </row>
    <row r="99" spans="1:40" ht="14.4" x14ac:dyDescent="0.3">
      <c r="A99" s="147" t="s">
        <v>980</v>
      </c>
      <c r="B99" s="148">
        <v>0</v>
      </c>
      <c r="C99" s="148">
        <v>0</v>
      </c>
      <c r="D99" s="148">
        <v>1</v>
      </c>
      <c r="E99" s="148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0"/>
      <c r="O99" s="148">
        <v>0</v>
      </c>
      <c r="P99" s="148">
        <v>0</v>
      </c>
      <c r="Q99" s="148">
        <v>1</v>
      </c>
      <c r="R99" s="148">
        <v>0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>
        <v>0</v>
      </c>
      <c r="AA99" s="10"/>
      <c r="AB99" s="148">
        <v>0</v>
      </c>
      <c r="AC99" s="148">
        <v>0</v>
      </c>
      <c r="AD99" s="148">
        <v>1</v>
      </c>
      <c r="AE99" s="148">
        <v>0</v>
      </c>
      <c r="AF99" s="148">
        <v>0</v>
      </c>
      <c r="AG99" s="148">
        <v>0</v>
      </c>
      <c r="AH99" s="148">
        <v>0</v>
      </c>
      <c r="AI99" s="148">
        <v>0</v>
      </c>
      <c r="AJ99" s="148">
        <v>0</v>
      </c>
      <c r="AK99" s="148">
        <v>0</v>
      </c>
      <c r="AL99" s="148">
        <v>0</v>
      </c>
      <c r="AM99" s="148">
        <v>0</v>
      </c>
      <c r="AN99" s="10"/>
    </row>
    <row r="100" spans="1:40" ht="14.4" x14ac:dyDescent="0.3">
      <c r="A100" s="147" t="s">
        <v>981</v>
      </c>
      <c r="B100" s="148">
        <v>0</v>
      </c>
      <c r="C100" s="148">
        <v>0</v>
      </c>
      <c r="D100" s="148">
        <v>-949.19872405241404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0"/>
      <c r="O100" s="148">
        <v>0</v>
      </c>
      <c r="P100" s="148">
        <v>0</v>
      </c>
      <c r="Q100" s="148">
        <v>-948.98619625969502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  <c r="X100" s="148">
        <v>0</v>
      </c>
      <c r="Y100" s="148">
        <v>0</v>
      </c>
      <c r="Z100" s="148">
        <v>0</v>
      </c>
      <c r="AA100" s="10"/>
      <c r="AB100" s="148">
        <v>0</v>
      </c>
      <c r="AC100" s="148">
        <v>0</v>
      </c>
      <c r="AD100" s="148">
        <v>-1260.5563229699101</v>
      </c>
      <c r="AE100" s="148">
        <v>0</v>
      </c>
      <c r="AF100" s="148">
        <v>0</v>
      </c>
      <c r="AG100" s="148">
        <v>0</v>
      </c>
      <c r="AH100" s="148">
        <v>0</v>
      </c>
      <c r="AI100" s="148">
        <v>0</v>
      </c>
      <c r="AJ100" s="148">
        <v>0</v>
      </c>
      <c r="AK100" s="148">
        <v>0</v>
      </c>
      <c r="AL100" s="148">
        <v>0</v>
      </c>
      <c r="AM100" s="148">
        <v>0</v>
      </c>
      <c r="AN100" s="10"/>
    </row>
    <row r="101" spans="1:40" ht="14.4" x14ac:dyDescent="0.3">
      <c r="A101" s="147" t="s">
        <v>982</v>
      </c>
      <c r="B101" s="148">
        <v>0</v>
      </c>
      <c r="C101" s="148">
        <v>0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0"/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0"/>
      <c r="AB101" s="148">
        <v>0</v>
      </c>
      <c r="AC101" s="148">
        <v>0</v>
      </c>
      <c r="AD101" s="148">
        <v>0</v>
      </c>
      <c r="AE101" s="148">
        <v>0</v>
      </c>
      <c r="AF101" s="148">
        <v>0</v>
      </c>
      <c r="AG101" s="148">
        <v>0</v>
      </c>
      <c r="AH101" s="148">
        <v>0</v>
      </c>
      <c r="AI101" s="148">
        <v>0</v>
      </c>
      <c r="AJ101" s="148">
        <v>0</v>
      </c>
      <c r="AK101" s="148">
        <v>0</v>
      </c>
      <c r="AL101" s="148">
        <v>0</v>
      </c>
      <c r="AM101" s="148">
        <v>0</v>
      </c>
      <c r="AN101" s="10"/>
    </row>
    <row r="102" spans="1:40" ht="14.4" x14ac:dyDescent="0.3">
      <c r="A102" s="147" t="s">
        <v>983</v>
      </c>
      <c r="B102" s="148">
        <v>0</v>
      </c>
      <c r="C102" s="148">
        <v>0</v>
      </c>
      <c r="D102" s="148">
        <v>0</v>
      </c>
      <c r="E102" s="148">
        <v>0</v>
      </c>
      <c r="F102" s="148">
        <v>0</v>
      </c>
      <c r="G102" s="148">
        <v>1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0"/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1</v>
      </c>
      <c r="U102" s="148">
        <v>0</v>
      </c>
      <c r="V102" s="148">
        <v>0</v>
      </c>
      <c r="W102" s="148">
        <v>0</v>
      </c>
      <c r="X102" s="148">
        <v>0</v>
      </c>
      <c r="Y102" s="148">
        <v>0</v>
      </c>
      <c r="Z102" s="148">
        <v>0</v>
      </c>
      <c r="AA102" s="10"/>
      <c r="AB102" s="148">
        <v>0</v>
      </c>
      <c r="AC102" s="148">
        <v>0</v>
      </c>
      <c r="AD102" s="148">
        <v>0</v>
      </c>
      <c r="AE102" s="148">
        <v>0</v>
      </c>
      <c r="AF102" s="148">
        <v>0</v>
      </c>
      <c r="AG102" s="148">
        <v>1</v>
      </c>
      <c r="AH102" s="148">
        <v>0</v>
      </c>
      <c r="AI102" s="148">
        <v>0</v>
      </c>
      <c r="AJ102" s="148">
        <v>0</v>
      </c>
      <c r="AK102" s="148">
        <v>0</v>
      </c>
      <c r="AL102" s="148">
        <v>0</v>
      </c>
      <c r="AM102" s="148">
        <v>0</v>
      </c>
      <c r="AN102" s="10"/>
    </row>
    <row r="103" spans="1:40" ht="14.4" x14ac:dyDescent="0.3">
      <c r="A103" s="147" t="s">
        <v>984</v>
      </c>
      <c r="B103" s="148">
        <v>0</v>
      </c>
      <c r="C103" s="148">
        <v>0</v>
      </c>
      <c r="D103" s="148">
        <v>0</v>
      </c>
      <c r="E103" s="148">
        <v>0</v>
      </c>
      <c r="F103" s="148">
        <v>0</v>
      </c>
      <c r="G103" s="148">
        <v>-949.19872405241404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0"/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-948.98619625969502</v>
      </c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>
        <v>0</v>
      </c>
      <c r="AA103" s="10"/>
      <c r="AB103" s="148">
        <v>0</v>
      </c>
      <c r="AC103" s="148">
        <v>0</v>
      </c>
      <c r="AD103" s="148">
        <v>0</v>
      </c>
      <c r="AE103" s="148">
        <v>0</v>
      </c>
      <c r="AF103" s="148">
        <v>0</v>
      </c>
      <c r="AG103" s="148">
        <v>-1260.5563229699101</v>
      </c>
      <c r="AH103" s="148">
        <v>0</v>
      </c>
      <c r="AI103" s="148">
        <v>0</v>
      </c>
      <c r="AJ103" s="148">
        <v>0</v>
      </c>
      <c r="AK103" s="148">
        <v>0</v>
      </c>
      <c r="AL103" s="148">
        <v>0</v>
      </c>
      <c r="AM103" s="148">
        <v>0</v>
      </c>
      <c r="AN103" s="10"/>
    </row>
    <row r="104" spans="1:40" ht="14.4" x14ac:dyDescent="0.3">
      <c r="A104" s="147" t="s">
        <v>985</v>
      </c>
      <c r="B104" s="148">
        <v>0</v>
      </c>
      <c r="C104" s="148">
        <v>0</v>
      </c>
      <c r="D104" s="148">
        <v>0</v>
      </c>
      <c r="E104" s="148">
        <v>0</v>
      </c>
      <c r="F104" s="148">
        <v>0</v>
      </c>
      <c r="G104" s="148">
        <v>972.76589180559995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0"/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838.62169188788903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0"/>
      <c r="AB104" s="148">
        <v>0</v>
      </c>
      <c r="AC104" s="148">
        <v>0</v>
      </c>
      <c r="AD104" s="148">
        <v>0</v>
      </c>
      <c r="AE104" s="148">
        <v>0</v>
      </c>
      <c r="AF104" s="148">
        <v>0</v>
      </c>
      <c r="AG104" s="148">
        <v>996.98973704048296</v>
      </c>
      <c r="AH104" s="148">
        <v>0</v>
      </c>
      <c r="AI104" s="148">
        <v>0</v>
      </c>
      <c r="AJ104" s="148">
        <v>0</v>
      </c>
      <c r="AK104" s="148">
        <v>0</v>
      </c>
      <c r="AL104" s="148">
        <v>0</v>
      </c>
      <c r="AM104" s="148">
        <v>0</v>
      </c>
      <c r="AN104" s="10"/>
    </row>
    <row r="105" spans="1:40" ht="14.4" x14ac:dyDescent="0.3">
      <c r="A105" s="147" t="s">
        <v>986</v>
      </c>
      <c r="B105" s="148">
        <v>0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0"/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  <c r="X105" s="148">
        <v>0</v>
      </c>
      <c r="Y105" s="148">
        <v>0</v>
      </c>
      <c r="Z105" s="148">
        <v>0</v>
      </c>
      <c r="AA105" s="10"/>
      <c r="AB105" s="148">
        <v>0</v>
      </c>
      <c r="AC105" s="148">
        <v>0</v>
      </c>
      <c r="AD105" s="148">
        <v>0</v>
      </c>
      <c r="AE105" s="148">
        <v>0</v>
      </c>
      <c r="AF105" s="148">
        <v>0</v>
      </c>
      <c r="AG105" s="148">
        <v>0</v>
      </c>
      <c r="AH105" s="148">
        <v>0</v>
      </c>
      <c r="AI105" s="148">
        <v>0</v>
      </c>
      <c r="AJ105" s="148">
        <v>0</v>
      </c>
      <c r="AK105" s="148">
        <v>0</v>
      </c>
      <c r="AL105" s="148">
        <v>0</v>
      </c>
      <c r="AM105" s="148">
        <v>0</v>
      </c>
      <c r="AN105" s="10"/>
    </row>
    <row r="106" spans="1:40" ht="14.4" x14ac:dyDescent="0.3">
      <c r="A106" s="147" t="s">
        <v>987</v>
      </c>
      <c r="B106" s="148">
        <v>0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1</v>
      </c>
      <c r="K106" s="148">
        <v>0</v>
      </c>
      <c r="L106" s="148">
        <v>0</v>
      </c>
      <c r="M106" s="148">
        <v>0</v>
      </c>
      <c r="N106" s="10"/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1</v>
      </c>
      <c r="X106" s="148">
        <v>0</v>
      </c>
      <c r="Y106" s="148">
        <v>0</v>
      </c>
      <c r="Z106" s="148">
        <v>0</v>
      </c>
      <c r="AA106" s="10"/>
      <c r="AB106" s="148">
        <v>0</v>
      </c>
      <c r="AC106" s="148">
        <v>0</v>
      </c>
      <c r="AD106" s="148">
        <v>0</v>
      </c>
      <c r="AE106" s="148">
        <v>0</v>
      </c>
      <c r="AF106" s="148">
        <v>0</v>
      </c>
      <c r="AG106" s="148">
        <v>0</v>
      </c>
      <c r="AH106" s="148">
        <v>0</v>
      </c>
      <c r="AI106" s="148">
        <v>0</v>
      </c>
      <c r="AJ106" s="148">
        <v>1</v>
      </c>
      <c r="AK106" s="148">
        <v>0</v>
      </c>
      <c r="AL106" s="148">
        <v>0</v>
      </c>
      <c r="AM106" s="148">
        <v>0</v>
      </c>
      <c r="AN106" s="10"/>
    </row>
    <row r="107" spans="1:40" ht="14.4" x14ac:dyDescent="0.3">
      <c r="A107" s="147" t="s">
        <v>988</v>
      </c>
      <c r="B107" s="148">
        <v>0</v>
      </c>
      <c r="C107" s="148">
        <v>0</v>
      </c>
      <c r="D107" s="148">
        <v>0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23.5671677531863</v>
      </c>
      <c r="K107" s="148">
        <v>0</v>
      </c>
      <c r="L107" s="148">
        <v>0</v>
      </c>
      <c r="M107" s="148">
        <v>0</v>
      </c>
      <c r="N107" s="10"/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0</v>
      </c>
      <c r="W107" s="148">
        <v>-110.36450437180601</v>
      </c>
      <c r="X107" s="148">
        <v>0</v>
      </c>
      <c r="Y107" s="148">
        <v>0</v>
      </c>
      <c r="Z107" s="148">
        <v>0</v>
      </c>
      <c r="AA107" s="10"/>
      <c r="AB107" s="148">
        <v>0</v>
      </c>
      <c r="AC107" s="148">
        <v>0</v>
      </c>
      <c r="AD107" s="148">
        <v>0</v>
      </c>
      <c r="AE107" s="148">
        <v>0</v>
      </c>
      <c r="AF107" s="148">
        <v>0</v>
      </c>
      <c r="AG107" s="148">
        <v>0</v>
      </c>
      <c r="AH107" s="148">
        <v>0</v>
      </c>
      <c r="AI107" s="148">
        <v>0</v>
      </c>
      <c r="AJ107" s="148">
        <v>-263.56658592943398</v>
      </c>
      <c r="AK107" s="148">
        <v>0</v>
      </c>
      <c r="AL107" s="148">
        <v>0</v>
      </c>
      <c r="AM107" s="148">
        <v>0</v>
      </c>
      <c r="AN107" s="10"/>
    </row>
    <row r="108" spans="1:40" ht="14.4" x14ac:dyDescent="0.3">
      <c r="A108" s="147" t="s">
        <v>989</v>
      </c>
      <c r="B108" s="148">
        <v>0</v>
      </c>
      <c r="C108" s="148">
        <v>0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-583.68656626897405</v>
      </c>
      <c r="K108" s="148">
        <v>0</v>
      </c>
      <c r="L108" s="148">
        <v>0</v>
      </c>
      <c r="M108" s="148">
        <v>0</v>
      </c>
      <c r="N108" s="10"/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-240.05128226539</v>
      </c>
      <c r="X108" s="148">
        <v>0</v>
      </c>
      <c r="Y108" s="148">
        <v>0</v>
      </c>
      <c r="Z108" s="148">
        <v>0</v>
      </c>
      <c r="AA108" s="10"/>
      <c r="AB108" s="148">
        <v>0</v>
      </c>
      <c r="AC108" s="148">
        <v>0</v>
      </c>
      <c r="AD108" s="148">
        <v>0</v>
      </c>
      <c r="AE108" s="148">
        <v>0</v>
      </c>
      <c r="AF108" s="148">
        <v>0</v>
      </c>
      <c r="AG108" s="148">
        <v>0</v>
      </c>
      <c r="AH108" s="148">
        <v>0</v>
      </c>
      <c r="AI108" s="148">
        <v>0</v>
      </c>
      <c r="AJ108" s="148">
        <v>-440.11113614852701</v>
      </c>
      <c r="AK108" s="148">
        <v>0</v>
      </c>
      <c r="AL108" s="148">
        <v>0</v>
      </c>
      <c r="AM108" s="148">
        <v>0</v>
      </c>
      <c r="AN108" s="10"/>
    </row>
    <row r="109" spans="1:40" ht="14.4" x14ac:dyDescent="0.3">
      <c r="A109" s="147" t="s">
        <v>990</v>
      </c>
      <c r="B109" s="148">
        <v>0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0"/>
      <c r="O109" s="148">
        <v>0</v>
      </c>
      <c r="P109" s="148">
        <v>0</v>
      </c>
      <c r="Q109" s="148">
        <v>0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0</v>
      </c>
      <c r="X109" s="148">
        <v>0</v>
      </c>
      <c r="Y109" s="148">
        <v>0</v>
      </c>
      <c r="Z109" s="148">
        <v>0</v>
      </c>
      <c r="AA109" s="10"/>
      <c r="AB109" s="148">
        <v>0</v>
      </c>
      <c r="AC109" s="148">
        <v>0</v>
      </c>
      <c r="AD109" s="148">
        <v>0</v>
      </c>
      <c r="AE109" s="148">
        <v>0</v>
      </c>
      <c r="AF109" s="148">
        <v>0</v>
      </c>
      <c r="AG109" s="148">
        <v>0</v>
      </c>
      <c r="AH109" s="148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0"/>
    </row>
    <row r="110" spans="1:40" ht="14.4" x14ac:dyDescent="0.3">
      <c r="A110" s="147" t="s">
        <v>991</v>
      </c>
      <c r="B110" s="148">
        <v>0</v>
      </c>
      <c r="C110" s="148">
        <v>0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1</v>
      </c>
      <c r="N110" s="10"/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>
        <v>1</v>
      </c>
      <c r="AA110" s="10"/>
      <c r="AB110" s="148">
        <v>0</v>
      </c>
      <c r="AC110" s="148">
        <v>0</v>
      </c>
      <c r="AD110" s="148">
        <v>0</v>
      </c>
      <c r="AE110" s="148">
        <v>0</v>
      </c>
      <c r="AF110" s="148">
        <v>0</v>
      </c>
      <c r="AG110" s="148">
        <v>0</v>
      </c>
      <c r="AH110" s="148">
        <v>0</v>
      </c>
      <c r="AI110" s="148">
        <v>0</v>
      </c>
      <c r="AJ110" s="148">
        <v>0</v>
      </c>
      <c r="AK110" s="148">
        <v>0</v>
      </c>
      <c r="AL110" s="148">
        <v>0</v>
      </c>
      <c r="AM110" s="148">
        <v>1</v>
      </c>
      <c r="AN110" s="10"/>
    </row>
    <row r="111" spans="1:40" s="150" customFormat="1" ht="14.4" x14ac:dyDescent="0.3">
      <c r="A111" s="147" t="s">
        <v>992</v>
      </c>
      <c r="B111" s="148">
        <v>0</v>
      </c>
      <c r="C111" s="148">
        <v>0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-560.119398515787</v>
      </c>
      <c r="N111" s="10"/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>
        <v>-350.41578663719702</v>
      </c>
      <c r="AA111" s="10"/>
      <c r="AB111" s="148">
        <v>0</v>
      </c>
      <c r="AC111" s="148">
        <v>0</v>
      </c>
      <c r="AD111" s="148">
        <v>0</v>
      </c>
      <c r="AE111" s="148">
        <v>0</v>
      </c>
      <c r="AF111" s="148">
        <v>0</v>
      </c>
      <c r="AG111" s="148">
        <v>0</v>
      </c>
      <c r="AH111" s="148">
        <v>0</v>
      </c>
      <c r="AI111" s="148">
        <v>0</v>
      </c>
      <c r="AJ111" s="148">
        <v>0</v>
      </c>
      <c r="AK111" s="148">
        <v>0</v>
      </c>
      <c r="AL111" s="148">
        <v>0</v>
      </c>
      <c r="AM111" s="148">
        <v>-703.67772207796202</v>
      </c>
      <c r="AN111" s="10"/>
    </row>
    <row r="112" spans="1:40" ht="14.4" x14ac:dyDescent="0.3">
      <c r="A112" s="147" t="s">
        <v>993</v>
      </c>
      <c r="B112" s="148">
        <v>0</v>
      </c>
      <c r="C112" s="148">
        <v>0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560.11939851577995</v>
      </c>
      <c r="N112" s="10"/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0</v>
      </c>
      <c r="X112" s="148">
        <v>0</v>
      </c>
      <c r="Y112" s="148">
        <v>0</v>
      </c>
      <c r="Z112" s="148">
        <v>350.41578663718201</v>
      </c>
      <c r="AA112" s="10"/>
      <c r="AB112" s="148">
        <v>0</v>
      </c>
      <c r="AC112" s="148">
        <v>0</v>
      </c>
      <c r="AD112" s="148">
        <v>0</v>
      </c>
      <c r="AE112" s="148">
        <v>0</v>
      </c>
      <c r="AF112" s="148">
        <v>0</v>
      </c>
      <c r="AG112" s="148">
        <v>0</v>
      </c>
      <c r="AH112" s="148">
        <v>0</v>
      </c>
      <c r="AI112" s="148">
        <v>0</v>
      </c>
      <c r="AJ112" s="148">
        <v>0</v>
      </c>
      <c r="AK112" s="148">
        <v>0</v>
      </c>
      <c r="AL112" s="148">
        <v>0</v>
      </c>
      <c r="AM112" s="148">
        <v>703.67772207796202</v>
      </c>
      <c r="AN112" s="10"/>
    </row>
    <row r="113" spans="1:40" ht="14.4" x14ac:dyDescent="0.3">
      <c r="A113" s="147" t="s">
        <v>994</v>
      </c>
      <c r="B113" s="148">
        <v>0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0"/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  <c r="X113" s="148">
        <v>0</v>
      </c>
      <c r="Y113" s="148">
        <v>0</v>
      </c>
      <c r="Z113" s="148">
        <v>0</v>
      </c>
      <c r="AA113" s="10"/>
      <c r="AB113" s="148">
        <v>0</v>
      </c>
      <c r="AC113" s="148">
        <v>0</v>
      </c>
      <c r="AD113" s="148">
        <v>0</v>
      </c>
      <c r="AE113" s="148">
        <v>0</v>
      </c>
      <c r="AF113" s="148">
        <v>0</v>
      </c>
      <c r="AG113" s="148">
        <v>0</v>
      </c>
      <c r="AH113" s="148">
        <v>0</v>
      </c>
      <c r="AI113" s="148">
        <v>0</v>
      </c>
      <c r="AJ113" s="148">
        <v>0</v>
      </c>
      <c r="AK113" s="148">
        <v>0</v>
      </c>
      <c r="AL113" s="148">
        <v>0</v>
      </c>
      <c r="AM113" s="148">
        <v>0</v>
      </c>
      <c r="AN113" s="10"/>
    </row>
    <row r="114" spans="1:40" ht="14.4" x14ac:dyDescent="0.3">
      <c r="A114" s="147" t="s">
        <v>995</v>
      </c>
      <c r="B114" s="148">
        <v>0</v>
      </c>
      <c r="C114" s="148">
        <v>0</v>
      </c>
      <c r="D114" s="148">
        <v>-949.19872405241404</v>
      </c>
      <c r="E114" s="148">
        <v>0</v>
      </c>
      <c r="F114" s="148">
        <v>0</v>
      </c>
      <c r="G114" s="148">
        <v>972.76589180559995</v>
      </c>
      <c r="H114" s="148">
        <v>0</v>
      </c>
      <c r="I114" s="148">
        <v>0</v>
      </c>
      <c r="J114" s="148">
        <v>-583.68656626897405</v>
      </c>
      <c r="K114" s="148">
        <v>0</v>
      </c>
      <c r="L114" s="148">
        <v>0</v>
      </c>
      <c r="M114" s="148">
        <v>560.11939851577995</v>
      </c>
      <c r="N114" s="10"/>
      <c r="O114" s="148">
        <v>0</v>
      </c>
      <c r="P114" s="148">
        <v>0</v>
      </c>
      <c r="Q114" s="148">
        <v>-948.98619625969502</v>
      </c>
      <c r="R114" s="148">
        <v>0</v>
      </c>
      <c r="S114" s="148">
        <v>0</v>
      </c>
      <c r="T114" s="148">
        <v>838.62169188788903</v>
      </c>
      <c r="U114" s="148">
        <v>0</v>
      </c>
      <c r="V114" s="148">
        <v>0</v>
      </c>
      <c r="W114" s="148">
        <v>-240.05128226539</v>
      </c>
      <c r="X114" s="148">
        <v>0</v>
      </c>
      <c r="Y114" s="148">
        <v>0</v>
      </c>
      <c r="Z114" s="148">
        <v>350.41578663718201</v>
      </c>
      <c r="AA114" s="10"/>
      <c r="AB114" s="148">
        <v>0</v>
      </c>
      <c r="AC114" s="148">
        <v>0</v>
      </c>
      <c r="AD114" s="148">
        <v>-1260.5563229699101</v>
      </c>
      <c r="AE114" s="148">
        <v>0</v>
      </c>
      <c r="AF114" s="148">
        <v>0</v>
      </c>
      <c r="AG114" s="148">
        <v>996.98973704048296</v>
      </c>
      <c r="AH114" s="148">
        <v>0</v>
      </c>
      <c r="AI114" s="148">
        <v>0</v>
      </c>
      <c r="AJ114" s="148">
        <v>-440.11113614852701</v>
      </c>
      <c r="AK114" s="148">
        <v>0</v>
      </c>
      <c r="AL114" s="148">
        <v>0</v>
      </c>
      <c r="AM114" s="148">
        <v>703.67772207796202</v>
      </c>
      <c r="AN114" s="10"/>
    </row>
    <row r="115" spans="1:40" ht="14.4" x14ac:dyDescent="0.3">
      <c r="A115" s="147" t="s">
        <v>509</v>
      </c>
      <c r="B115" s="148">
        <v>0</v>
      </c>
      <c r="C115" s="148">
        <v>0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0"/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  <c r="X115" s="148">
        <v>0</v>
      </c>
      <c r="Y115" s="148">
        <v>0</v>
      </c>
      <c r="Z115" s="148">
        <v>0</v>
      </c>
      <c r="AA115" s="10"/>
      <c r="AB115" s="148">
        <v>0</v>
      </c>
      <c r="AC115" s="148">
        <v>0</v>
      </c>
      <c r="AD115" s="148">
        <v>0</v>
      </c>
      <c r="AE115" s="148">
        <v>0</v>
      </c>
      <c r="AF115" s="148">
        <v>0</v>
      </c>
      <c r="AG115" s="148">
        <v>0</v>
      </c>
      <c r="AH115" s="148">
        <v>0</v>
      </c>
      <c r="AI115" s="148">
        <v>0</v>
      </c>
      <c r="AJ115" s="148">
        <v>0</v>
      </c>
      <c r="AK115" s="148">
        <v>0</v>
      </c>
      <c r="AL115" s="148">
        <v>0</v>
      </c>
      <c r="AM115" s="148">
        <v>0</v>
      </c>
      <c r="AN115" s="10"/>
    </row>
    <row r="116" spans="1:40" ht="14.4" x14ac:dyDescent="0.3">
      <c r="A116" s="147" t="s">
        <v>996</v>
      </c>
      <c r="B116" s="148">
        <v>0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0"/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  <c r="X116" s="148">
        <v>0</v>
      </c>
      <c r="Y116" s="148">
        <v>0</v>
      </c>
      <c r="Z116" s="148">
        <v>0</v>
      </c>
      <c r="AA116" s="10"/>
      <c r="AB116" s="148">
        <v>0</v>
      </c>
      <c r="AC116" s="148">
        <v>0</v>
      </c>
      <c r="AD116" s="148">
        <v>0</v>
      </c>
      <c r="AE116" s="148">
        <v>0</v>
      </c>
      <c r="AF116" s="148">
        <v>0</v>
      </c>
      <c r="AG116" s="148">
        <v>0</v>
      </c>
      <c r="AH116" s="148">
        <v>0</v>
      </c>
      <c r="AI116" s="148">
        <v>0</v>
      </c>
      <c r="AJ116" s="148">
        <v>0</v>
      </c>
      <c r="AK116" s="148">
        <v>0</v>
      </c>
      <c r="AL116" s="148">
        <v>0</v>
      </c>
      <c r="AM116" s="148">
        <v>0</v>
      </c>
      <c r="AN116" s="10"/>
    </row>
    <row r="117" spans="1:40" ht="14.4" x14ac:dyDescent="0.3">
      <c r="A117" s="147" t="s">
        <v>997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4.4" x14ac:dyDescent="0.3">
      <c r="A118" s="147" t="s">
        <v>998</v>
      </c>
      <c r="B118" s="148">
        <v>22658.340395087202</v>
      </c>
      <c r="C118" s="148">
        <v>10797.7579823172</v>
      </c>
      <c r="D118" s="148">
        <v>5353.3555477770597</v>
      </c>
      <c r="E118" s="148">
        <v>5793.3494615322597</v>
      </c>
      <c r="F118" s="148">
        <v>11442.296230002201</v>
      </c>
      <c r="G118" s="148">
        <v>6769.8632057375198</v>
      </c>
      <c r="H118" s="148">
        <v>12030.4638274757</v>
      </c>
      <c r="I118" s="148">
        <v>12373.5878852731</v>
      </c>
      <c r="J118" s="148">
        <v>4008.6921555547701</v>
      </c>
      <c r="K118" s="148">
        <v>2751.8881418645501</v>
      </c>
      <c r="L118" s="148">
        <v>8824.6270628485508</v>
      </c>
      <c r="M118" s="148">
        <v>8231.0080653516707</v>
      </c>
      <c r="N118" s="10"/>
      <c r="O118" s="148">
        <v>17280.068239075899</v>
      </c>
      <c r="P118" s="148">
        <v>12002.2168086355</v>
      </c>
      <c r="Q118" s="148">
        <v>1876.33423834422</v>
      </c>
      <c r="R118" s="148">
        <v>1375.6521796315401</v>
      </c>
      <c r="S118" s="148">
        <v>6298.4463104571096</v>
      </c>
      <c r="T118" s="148">
        <v>4282.4372726436304</v>
      </c>
      <c r="U118" s="148">
        <v>11568.044562508299</v>
      </c>
      <c r="V118" s="148">
        <v>12417.462320479201</v>
      </c>
      <c r="W118" s="148">
        <v>-427.359998931012</v>
      </c>
      <c r="X118" s="148">
        <v>2075.6636225192101</v>
      </c>
      <c r="Y118" s="148">
        <v>6910.7856651759903</v>
      </c>
      <c r="Z118" s="148">
        <v>5947.4061190236898</v>
      </c>
      <c r="AA118" s="10"/>
      <c r="AB118" s="148">
        <v>17144.340548424901</v>
      </c>
      <c r="AC118" s="148">
        <v>12380.224654056899</v>
      </c>
      <c r="AD118" s="148">
        <v>-192.299182958774</v>
      </c>
      <c r="AE118" s="148">
        <v>-352.00851205457701</v>
      </c>
      <c r="AF118" s="148">
        <v>5732.6058479433696</v>
      </c>
      <c r="AG118" s="148">
        <v>1950.4234309435701</v>
      </c>
      <c r="AH118" s="148">
        <v>10702.746128528501</v>
      </c>
      <c r="AI118" s="148">
        <v>12449.336614829999</v>
      </c>
      <c r="AJ118" s="148">
        <v>-854.56569635734797</v>
      </c>
      <c r="AK118" s="148">
        <v>1496.56028424082</v>
      </c>
      <c r="AL118" s="148">
        <v>5571.8564306484004</v>
      </c>
      <c r="AM118" s="148">
        <v>3148.2023247524899</v>
      </c>
      <c r="AN118" s="10"/>
    </row>
    <row r="119" spans="1:40" ht="14.4" x14ac:dyDescent="0.3">
      <c r="A119" s="147" t="s">
        <v>999</v>
      </c>
      <c r="B119" s="148">
        <v>92349.8753</v>
      </c>
      <c r="C119" s="148">
        <v>44774.2490799999</v>
      </c>
      <c r="D119" s="148">
        <v>43455.191359999997</v>
      </c>
      <c r="E119" s="148">
        <v>16913.171939999898</v>
      </c>
      <c r="F119" s="148">
        <v>47414.190459999998</v>
      </c>
      <c r="G119" s="148">
        <v>52478.795279999998</v>
      </c>
      <c r="H119" s="148">
        <v>49685.9105003851</v>
      </c>
      <c r="I119" s="148">
        <v>51037.250816175103</v>
      </c>
      <c r="J119" s="148">
        <v>36377.412265616702</v>
      </c>
      <c r="K119" s="148">
        <v>12454.469301532599</v>
      </c>
      <c r="L119" s="148">
        <v>36816.091358934696</v>
      </c>
      <c r="M119" s="148">
        <v>56501.245437216501</v>
      </c>
      <c r="N119" s="10"/>
      <c r="O119" s="148">
        <v>70657.384533938704</v>
      </c>
      <c r="P119" s="148">
        <v>49537.600086904698</v>
      </c>
      <c r="Q119" s="148">
        <v>36535.108008307703</v>
      </c>
      <c r="R119" s="148">
        <v>15527.6680366813</v>
      </c>
      <c r="S119" s="148">
        <v>26584.819685505001</v>
      </c>
      <c r="T119" s="148">
        <v>37595.674520133798</v>
      </c>
      <c r="U119" s="148">
        <v>47698.477518492196</v>
      </c>
      <c r="V119" s="148">
        <v>51110.847683600499</v>
      </c>
      <c r="W119" s="148">
        <v>27330.744133650602</v>
      </c>
      <c r="X119" s="148">
        <v>9650.6786667696197</v>
      </c>
      <c r="Y119" s="148">
        <v>29050.380627737799</v>
      </c>
      <c r="Z119" s="148">
        <v>52844.123441505901</v>
      </c>
      <c r="AA119" s="10"/>
      <c r="AB119" s="148">
        <v>70002.895898461298</v>
      </c>
      <c r="AC119" s="148">
        <v>50945.249195587203</v>
      </c>
      <c r="AD119" s="148">
        <v>32313.476164352702</v>
      </c>
      <c r="AE119" s="148">
        <v>9880.6760367467905</v>
      </c>
      <c r="AF119" s="148">
        <v>24299.459241221401</v>
      </c>
      <c r="AG119" s="148">
        <v>30929.617274258399</v>
      </c>
      <c r="AH119" s="148">
        <v>44207.322963002996</v>
      </c>
      <c r="AI119" s="148">
        <v>51218.162594138397</v>
      </c>
      <c r="AJ119" s="148">
        <v>29645.061152618899</v>
      </c>
      <c r="AK119" s="148">
        <v>7309.3535911120998</v>
      </c>
      <c r="AL119" s="148">
        <v>23661.4548024992</v>
      </c>
      <c r="AM119" s="148">
        <v>45651.901814802703</v>
      </c>
      <c r="AN119" s="10"/>
    </row>
    <row r="120" spans="1:40" ht="10.199999999999999" x14ac:dyDescent="0.2">
      <c r="A120" s="154" t="s">
        <v>1000</v>
      </c>
      <c r="B120" s="153">
        <v>0.245353232167139</v>
      </c>
      <c r="C120" s="153">
        <v>0.241160001656855</v>
      </c>
      <c r="D120" s="153">
        <v>0.123192543404716</v>
      </c>
      <c r="E120" s="153">
        <v>0.34253477006467797</v>
      </c>
      <c r="F120" s="153">
        <v>0.24132640711550901</v>
      </c>
      <c r="G120" s="153">
        <v>0.12900187913264699</v>
      </c>
      <c r="H120" s="153">
        <v>0.242130288170577</v>
      </c>
      <c r="I120" s="153">
        <v>0.24244228847357099</v>
      </c>
      <c r="J120" s="153">
        <v>0.110197287434425</v>
      </c>
      <c r="K120" s="153">
        <v>0.22095587336875899</v>
      </c>
      <c r="L120" s="153">
        <v>0.23969483823835999</v>
      </c>
      <c r="M120" s="153">
        <v>0.14567834747108099</v>
      </c>
      <c r="N120" s="153"/>
      <c r="O120" s="153">
        <v>0.24456139090141199</v>
      </c>
      <c r="P120" s="153">
        <v>0.242284987314279</v>
      </c>
      <c r="Q120" s="153">
        <v>5.1357019060065803E-2</v>
      </c>
      <c r="R120" s="153">
        <v>8.8593610861708902E-2</v>
      </c>
      <c r="S120" s="153">
        <v>0.23691890277861199</v>
      </c>
      <c r="T120" s="153">
        <v>0.113907712185087</v>
      </c>
      <c r="U120" s="153">
        <v>0.24252439835262099</v>
      </c>
      <c r="V120" s="153">
        <v>0.24295160192507401</v>
      </c>
      <c r="W120" s="153">
        <v>-1.56366031177625E-2</v>
      </c>
      <c r="X120" s="153">
        <v>0.21507954975916699</v>
      </c>
      <c r="Y120" s="153">
        <v>0.23788967703154401</v>
      </c>
      <c r="Z120" s="153">
        <v>0.11254621576998899</v>
      </c>
      <c r="AA120" s="153"/>
      <c r="AB120" s="153">
        <v>0.24490901881106</v>
      </c>
      <c r="AC120" s="153">
        <v>0.24301038565003799</v>
      </c>
      <c r="AD120" s="153">
        <v>-5.9510521858032999E-3</v>
      </c>
      <c r="AE120" s="153">
        <v>-3.5625954210565899E-2</v>
      </c>
      <c r="AF120" s="153">
        <v>0.23591495559780201</v>
      </c>
      <c r="AG120" s="153">
        <v>6.3060057085376001E-2</v>
      </c>
      <c r="AH120" s="153">
        <v>0.24210346637559599</v>
      </c>
      <c r="AI120" s="153">
        <v>0.24306488136797699</v>
      </c>
      <c r="AJ120" s="153">
        <v>-2.8826578969018399E-2</v>
      </c>
      <c r="AK120" s="153">
        <v>0.204745914339208</v>
      </c>
      <c r="AL120" s="153">
        <v>0.235482411253084</v>
      </c>
      <c r="AM120" s="153">
        <v>6.8961033376525802E-2</v>
      </c>
      <c r="AN120" s="153"/>
    </row>
    <row r="121" spans="1:40" ht="14.4" x14ac:dyDescent="0.3">
      <c r="A121" s="147" t="s">
        <v>1001</v>
      </c>
      <c r="B121" s="148">
        <v>111035.229949659</v>
      </c>
      <c r="C121" s="148">
        <v>111035.229949659</v>
      </c>
      <c r="D121" s="148">
        <v>111035.229950094</v>
      </c>
      <c r="E121" s="148">
        <v>111035.229950094</v>
      </c>
      <c r="F121" s="148">
        <v>111035.229950094</v>
      </c>
      <c r="G121" s="148">
        <v>111035.22995068</v>
      </c>
      <c r="H121" s="148">
        <v>111035.22995068</v>
      </c>
      <c r="I121" s="148">
        <v>111035.229950678</v>
      </c>
      <c r="J121" s="148">
        <v>111035.22995297299</v>
      </c>
      <c r="K121" s="148">
        <v>111035.229955722</v>
      </c>
      <c r="L121" s="148">
        <v>111035.229958479</v>
      </c>
      <c r="M121" s="148">
        <v>111035.22996082201</v>
      </c>
      <c r="N121" s="10"/>
      <c r="O121" s="148">
        <v>81607.1573108882</v>
      </c>
      <c r="P121" s="148">
        <v>81607.157313630698</v>
      </c>
      <c r="Q121" s="148">
        <v>81607.157316704601</v>
      </c>
      <c r="R121" s="148">
        <v>81607.157319520993</v>
      </c>
      <c r="S121" s="148">
        <v>81607.157322226398</v>
      </c>
      <c r="T121" s="148">
        <v>81607.1573249621</v>
      </c>
      <c r="U121" s="148">
        <v>81607.157327548295</v>
      </c>
      <c r="V121" s="148">
        <v>81607.157330068207</v>
      </c>
      <c r="W121" s="148">
        <v>81607.157332482893</v>
      </c>
      <c r="X121" s="148">
        <v>81607.157334774194</v>
      </c>
      <c r="Y121" s="148">
        <v>81607.157337066499</v>
      </c>
      <c r="Z121" s="148">
        <v>81607.157339563593</v>
      </c>
      <c r="AA121" s="10"/>
      <c r="AB121" s="148">
        <v>69177.422628943605</v>
      </c>
      <c r="AC121" s="148">
        <v>69177.422632427901</v>
      </c>
      <c r="AD121" s="148">
        <v>69177.422633260401</v>
      </c>
      <c r="AE121" s="148">
        <v>69177.422854448203</v>
      </c>
      <c r="AF121" s="148">
        <v>69177.422860360806</v>
      </c>
      <c r="AG121" s="148">
        <v>69177.423086291601</v>
      </c>
      <c r="AH121" s="148">
        <v>69177.423093621706</v>
      </c>
      <c r="AI121" s="148">
        <v>69177.423100867702</v>
      </c>
      <c r="AJ121" s="148">
        <v>69177.4231728257</v>
      </c>
      <c r="AK121" s="148">
        <v>69177.423296780602</v>
      </c>
      <c r="AL121" s="148">
        <v>69177.423421037602</v>
      </c>
      <c r="AM121" s="148">
        <v>69177.422872998402</v>
      </c>
      <c r="AN121" s="10"/>
    </row>
    <row r="122" spans="1:40" ht="14.4" x14ac:dyDescent="0.3">
      <c r="A122" s="147" t="s">
        <v>1002</v>
      </c>
      <c r="B122" s="148">
        <v>540257.85306159302</v>
      </c>
      <c r="C122" s="148">
        <v>540257.85306159302</v>
      </c>
      <c r="D122" s="148">
        <v>540257.85306159302</v>
      </c>
      <c r="E122" s="148">
        <v>540257.85306159302</v>
      </c>
      <c r="F122" s="148">
        <v>540257.85306159302</v>
      </c>
      <c r="G122" s="148">
        <v>540257.85306159302</v>
      </c>
      <c r="H122" s="148">
        <v>540257.85306159104</v>
      </c>
      <c r="I122" s="148">
        <v>540257.85306158697</v>
      </c>
      <c r="J122" s="148">
        <v>540257.85306709399</v>
      </c>
      <c r="K122" s="148">
        <v>540257.85307811503</v>
      </c>
      <c r="L122" s="148">
        <v>540257.85308916296</v>
      </c>
      <c r="M122" s="148">
        <v>540257.85309986095</v>
      </c>
      <c r="N122" s="10"/>
      <c r="O122" s="148">
        <v>454123.50682788301</v>
      </c>
      <c r="P122" s="148">
        <v>454123.50683887501</v>
      </c>
      <c r="Q122" s="148">
        <v>454123.50685012498</v>
      </c>
      <c r="R122" s="148">
        <v>454123.50686141301</v>
      </c>
      <c r="S122" s="148">
        <v>454123.506872256</v>
      </c>
      <c r="T122" s="148">
        <v>454123.50688373699</v>
      </c>
      <c r="U122" s="148">
        <v>454123.50689410203</v>
      </c>
      <c r="V122" s="148">
        <v>454123.50690420199</v>
      </c>
      <c r="W122" s="148">
        <v>454123.50691441202</v>
      </c>
      <c r="X122" s="148">
        <v>454123.50692359498</v>
      </c>
      <c r="Y122" s="148">
        <v>454123.506932783</v>
      </c>
      <c r="Z122" s="148">
        <v>454123.50694322801</v>
      </c>
      <c r="AA122" s="10"/>
      <c r="AB122" s="148">
        <v>420064.62977279798</v>
      </c>
      <c r="AC122" s="148">
        <v>420064.62978676299</v>
      </c>
      <c r="AD122" s="148">
        <v>420064.62980016298</v>
      </c>
      <c r="AE122" s="148">
        <v>420064.63068668701</v>
      </c>
      <c r="AF122" s="148">
        <v>420064.63071038498</v>
      </c>
      <c r="AG122" s="148">
        <v>420064.63161739003</v>
      </c>
      <c r="AH122" s="148">
        <v>420064.631646769</v>
      </c>
      <c r="AI122" s="148">
        <v>420064.63167581102</v>
      </c>
      <c r="AJ122" s="148">
        <v>420064.631931204</v>
      </c>
      <c r="AK122" s="148">
        <v>420064.63242801698</v>
      </c>
      <c r="AL122" s="148">
        <v>420064.63292604103</v>
      </c>
      <c r="AM122" s="148">
        <v>420064.630728802</v>
      </c>
      <c r="AN122" s="10"/>
    </row>
    <row r="123" spans="1:40" ht="10.199999999999999" x14ac:dyDescent="0.2">
      <c r="A123" s="154" t="s">
        <v>1003</v>
      </c>
      <c r="B123" s="153">
        <v>0.20552265796865801</v>
      </c>
      <c r="C123" s="153">
        <v>0.20552265796865801</v>
      </c>
      <c r="D123" s="153">
        <v>0.20552265796946401</v>
      </c>
      <c r="E123" s="153">
        <v>0.20552265796946401</v>
      </c>
      <c r="F123" s="153">
        <v>0.20552265796946401</v>
      </c>
      <c r="G123" s="153">
        <v>0.205522657970548</v>
      </c>
      <c r="H123" s="153">
        <v>0.205522657970547</v>
      </c>
      <c r="I123" s="153">
        <v>0.205522657970547</v>
      </c>
      <c r="J123" s="153">
        <v>0.205522657972699</v>
      </c>
      <c r="K123" s="153">
        <v>0.20552265797359601</v>
      </c>
      <c r="L123" s="153">
        <v>0.20552265797449501</v>
      </c>
      <c r="M123" s="153">
        <v>0.20552265797476199</v>
      </c>
      <c r="N123" s="153"/>
      <c r="O123" s="153">
        <v>0.17970256127220899</v>
      </c>
      <c r="P123" s="153">
        <v>0.179702561273898</v>
      </c>
      <c r="Q123" s="153">
        <v>0.17970256127621501</v>
      </c>
      <c r="R123" s="153">
        <v>0.17970256127795001</v>
      </c>
      <c r="S123" s="153">
        <v>0.17970256127961701</v>
      </c>
      <c r="T123" s="153">
        <v>0.17970256128109799</v>
      </c>
      <c r="U123" s="153">
        <v>0.17970256128269099</v>
      </c>
      <c r="V123" s="153">
        <v>0.179702561284243</v>
      </c>
      <c r="W123" s="153">
        <v>0.17970256128552101</v>
      </c>
      <c r="X123" s="153">
        <v>0.17970256128693199</v>
      </c>
      <c r="Y123" s="153">
        <v>0.179702561288344</v>
      </c>
      <c r="Z123" s="153">
        <v>0.17970256128970999</v>
      </c>
      <c r="AA123" s="153"/>
      <c r="AB123" s="153">
        <v>0.16468280765833501</v>
      </c>
      <c r="AC123" s="153">
        <v>0.16468280766115501</v>
      </c>
      <c r="AD123" s="153">
        <v>0.16468280765788301</v>
      </c>
      <c r="AE123" s="153">
        <v>0.16468280783688599</v>
      </c>
      <c r="AF123" s="153">
        <v>0.16468280784167</v>
      </c>
      <c r="AG123" s="153">
        <v>0.16468280802393401</v>
      </c>
      <c r="AH123" s="153">
        <v>0.16468280802986601</v>
      </c>
      <c r="AI123" s="153">
        <v>0.16468280803572999</v>
      </c>
      <c r="AJ123" s="153">
        <v>0.164682808106908</v>
      </c>
      <c r="AK123" s="153">
        <v>0.164682808207222</v>
      </c>
      <c r="AL123" s="153">
        <v>0.16468280830778001</v>
      </c>
      <c r="AM123" s="153">
        <v>0.16468280786453501</v>
      </c>
      <c r="AN123" s="153"/>
    </row>
    <row r="124" spans="1:40" ht="14.4" x14ac:dyDescent="0.3">
      <c r="A124" s="147" t="s">
        <v>1004</v>
      </c>
      <c r="B124" s="148">
        <v>18979.991834730201</v>
      </c>
      <c r="C124" s="148">
        <v>9202.1226794723807</v>
      </c>
      <c r="D124" s="148">
        <v>8931.0264308788901</v>
      </c>
      <c r="E124" s="148">
        <v>3476.0400518033498</v>
      </c>
      <c r="F124" s="148">
        <v>9744.6904488096006</v>
      </c>
      <c r="G124" s="148">
        <v>10785.5814930378</v>
      </c>
      <c r="H124" s="148">
        <v>10211.580389725899</v>
      </c>
      <c r="I124" s="148">
        <v>10489.311443249801</v>
      </c>
      <c r="J124" s="148">
        <v>7476.3824589982196</v>
      </c>
      <c r="K124" s="148">
        <v>2559.6756345015501</v>
      </c>
      <c r="L124" s="148">
        <v>7566.5409523201197</v>
      </c>
      <c r="M124" s="148">
        <v>11612.2861411411</v>
      </c>
      <c r="N124" s="10"/>
      <c r="O124" s="148">
        <v>12697.3129735441</v>
      </c>
      <c r="P124" s="148">
        <v>8902.0336149788891</v>
      </c>
      <c r="Q124" s="148">
        <v>6565.4524855960899</v>
      </c>
      <c r="R124" s="148">
        <v>2790.36171686541</v>
      </c>
      <c r="S124" s="148">
        <v>4777.3601886420402</v>
      </c>
      <c r="T124" s="148">
        <v>6756.0390043585803</v>
      </c>
      <c r="U124" s="148">
        <v>8571.5385793579298</v>
      </c>
      <c r="V124" s="148">
        <v>9184.7502381518898</v>
      </c>
      <c r="W124" s="148">
        <v>4911.4047226562398</v>
      </c>
      <c r="X124" s="148">
        <v>1734.25167457566</v>
      </c>
      <c r="Y124" s="148">
        <v>5220.4278052057998</v>
      </c>
      <c r="Z124" s="148">
        <v>9496.2243315482301</v>
      </c>
      <c r="AA124" s="10"/>
      <c r="AB124" s="148">
        <v>11528.2734407727</v>
      </c>
      <c r="AC124" s="148">
        <v>8389.8066745265096</v>
      </c>
      <c r="AD124" s="148">
        <v>5321.4739799317103</v>
      </c>
      <c r="AE124" s="148">
        <v>1627.1774730580901</v>
      </c>
      <c r="AF124" s="148">
        <v>4001.7031768785901</v>
      </c>
      <c r="AG124" s="148">
        <v>5093.5762238304796</v>
      </c>
      <c r="AH124" s="148">
        <v>7280.1860810305498</v>
      </c>
      <c r="AI124" s="148">
        <v>8434.7508384333596</v>
      </c>
      <c r="AJ124" s="148">
        <v>4882.0319171143001</v>
      </c>
      <c r="AK124" s="148">
        <v>1203.72487556388</v>
      </c>
      <c r="AL124" s="148">
        <v>3896.6348255232001</v>
      </c>
      <c r="AM124" s="148">
        <v>7518.0833752177996</v>
      </c>
      <c r="AN124" s="10"/>
    </row>
    <row r="125" spans="1:40" ht="14.4" x14ac:dyDescent="0.3">
      <c r="A125" s="147" t="s">
        <v>1005</v>
      </c>
      <c r="B125" s="148">
        <v>-3678.3485603570698</v>
      </c>
      <c r="C125" s="148">
        <v>-1595.63530284489</v>
      </c>
      <c r="D125" s="148">
        <v>3577.67088310182</v>
      </c>
      <c r="E125" s="148">
        <v>-2317.3094097289099</v>
      </c>
      <c r="F125" s="148">
        <v>-1697.6057811926601</v>
      </c>
      <c r="G125" s="148">
        <v>4015.7182873003298</v>
      </c>
      <c r="H125" s="148">
        <v>-1818.8834377498599</v>
      </c>
      <c r="I125" s="148">
        <v>-1884.27644202335</v>
      </c>
      <c r="J125" s="148">
        <v>3467.6903034434399</v>
      </c>
      <c r="K125" s="148">
        <v>-192.21250736299899</v>
      </c>
      <c r="L125" s="148">
        <v>-1258.08611052843</v>
      </c>
      <c r="M125" s="148">
        <v>3381.2780757894702</v>
      </c>
      <c r="N125" s="10"/>
      <c r="O125" s="148">
        <v>-4582.7552655318204</v>
      </c>
      <c r="P125" s="148">
        <v>-3100.18319365669</v>
      </c>
      <c r="Q125" s="148">
        <v>4689.1182472518603</v>
      </c>
      <c r="R125" s="148">
        <v>1414.7095372338599</v>
      </c>
      <c r="S125" s="148">
        <v>-1521.0861218150601</v>
      </c>
      <c r="T125" s="148">
        <v>2473.6017317149399</v>
      </c>
      <c r="U125" s="148">
        <v>-2996.5059831504</v>
      </c>
      <c r="V125" s="148">
        <v>-3232.7120823273699</v>
      </c>
      <c r="W125" s="148">
        <v>5338.7647215872503</v>
      </c>
      <c r="X125" s="148">
        <v>-341.41194794354999</v>
      </c>
      <c r="Y125" s="148">
        <v>-1690.35785997018</v>
      </c>
      <c r="Z125" s="148">
        <v>3548.8182125245398</v>
      </c>
      <c r="AA125" s="10"/>
      <c r="AB125" s="148">
        <v>-5616.0671076521603</v>
      </c>
      <c r="AC125" s="148">
        <v>-3990.4179795304499</v>
      </c>
      <c r="AD125" s="148">
        <v>5513.7731628904903</v>
      </c>
      <c r="AE125" s="148">
        <v>1979.1859851126701</v>
      </c>
      <c r="AF125" s="148">
        <v>-1730.90267106478</v>
      </c>
      <c r="AG125" s="148">
        <v>3143.15279288691</v>
      </c>
      <c r="AH125" s="148">
        <v>-3422.5600474979701</v>
      </c>
      <c r="AI125" s="148">
        <v>-4014.5857763967101</v>
      </c>
      <c r="AJ125" s="148">
        <v>5736.5976134716502</v>
      </c>
      <c r="AK125" s="148">
        <v>-292.83540867693398</v>
      </c>
      <c r="AL125" s="148">
        <v>-1675.2216051252001</v>
      </c>
      <c r="AM125" s="148">
        <v>4369.8810504653102</v>
      </c>
      <c r="AN125" s="10"/>
    </row>
    <row r="126" spans="1:40" ht="14.4" x14ac:dyDescent="0.3">
      <c r="A126" s="147" t="s">
        <v>1006</v>
      </c>
      <c r="B126" s="148">
        <v>0</v>
      </c>
      <c r="C126" s="148">
        <v>0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0"/>
      <c r="O126" s="148">
        <v>0</v>
      </c>
      <c r="P126" s="148">
        <v>0</v>
      </c>
      <c r="Q126" s="148">
        <v>0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  <c r="X126" s="148">
        <v>0</v>
      </c>
      <c r="Y126" s="148">
        <v>0</v>
      </c>
      <c r="Z126" s="148">
        <v>0</v>
      </c>
      <c r="AA126" s="10"/>
      <c r="AB126" s="148">
        <v>0</v>
      </c>
      <c r="AC126" s="148">
        <v>0</v>
      </c>
      <c r="AD126" s="148">
        <v>0</v>
      </c>
      <c r="AE126" s="148">
        <v>0</v>
      </c>
      <c r="AF126" s="148">
        <v>0</v>
      </c>
      <c r="AG126" s="148">
        <v>0</v>
      </c>
      <c r="AH126" s="148">
        <v>0</v>
      </c>
      <c r="AI126" s="148">
        <v>0</v>
      </c>
      <c r="AJ126" s="148">
        <v>0</v>
      </c>
      <c r="AK126" s="148">
        <v>0</v>
      </c>
      <c r="AL126" s="148">
        <v>0</v>
      </c>
      <c r="AM126" s="148">
        <v>0</v>
      </c>
      <c r="AN126" s="10"/>
    </row>
    <row r="127" spans="1:40" ht="14.4" x14ac:dyDescent="0.3">
      <c r="A127" s="147" t="s">
        <v>1007</v>
      </c>
      <c r="B127" s="148">
        <v>0</v>
      </c>
      <c r="C127" s="148">
        <v>0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0"/>
      <c r="O127" s="148">
        <v>0</v>
      </c>
      <c r="P127" s="148">
        <v>0</v>
      </c>
      <c r="Q127" s="148">
        <v>0</v>
      </c>
      <c r="R127" s="148">
        <v>0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  <c r="X127" s="148">
        <v>0</v>
      </c>
      <c r="Y127" s="148">
        <v>0</v>
      </c>
      <c r="Z127" s="148">
        <v>0</v>
      </c>
      <c r="AA127" s="10"/>
      <c r="AB127" s="148">
        <v>0</v>
      </c>
      <c r="AC127" s="148">
        <v>0</v>
      </c>
      <c r="AD127" s="148">
        <v>0</v>
      </c>
      <c r="AE127" s="148">
        <v>0</v>
      </c>
      <c r="AF127" s="148">
        <v>0</v>
      </c>
      <c r="AG127" s="148">
        <v>0</v>
      </c>
      <c r="AH127" s="148">
        <v>0</v>
      </c>
      <c r="AI127" s="148">
        <v>0</v>
      </c>
      <c r="AJ127" s="148">
        <v>0</v>
      </c>
      <c r="AK127" s="148">
        <v>0</v>
      </c>
      <c r="AL127" s="148">
        <v>0</v>
      </c>
      <c r="AM127" s="148">
        <v>0</v>
      </c>
      <c r="AN127" s="10"/>
    </row>
    <row r="128" spans="1:40" ht="14.4" x14ac:dyDescent="0.3">
      <c r="A128" s="147" t="s">
        <v>1008</v>
      </c>
      <c r="B128" s="148">
        <v>0</v>
      </c>
      <c r="C128" s="148">
        <v>0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0"/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  <c r="X128" s="148">
        <v>0</v>
      </c>
      <c r="Y128" s="148">
        <v>0</v>
      </c>
      <c r="Z128" s="148">
        <v>0</v>
      </c>
      <c r="AA128" s="10"/>
      <c r="AB128" s="148">
        <v>0</v>
      </c>
      <c r="AC128" s="148">
        <v>0</v>
      </c>
      <c r="AD128" s="148">
        <v>0</v>
      </c>
      <c r="AE128" s="148">
        <v>0</v>
      </c>
      <c r="AF128" s="148">
        <v>0</v>
      </c>
      <c r="AG128" s="148">
        <v>0</v>
      </c>
      <c r="AH128" s="148">
        <v>0</v>
      </c>
      <c r="AI128" s="148">
        <v>0</v>
      </c>
      <c r="AJ128" s="148">
        <v>0</v>
      </c>
      <c r="AK128" s="148">
        <v>0</v>
      </c>
      <c r="AL128" s="148">
        <v>0</v>
      </c>
      <c r="AM128" s="148">
        <v>0</v>
      </c>
      <c r="AN128" s="10"/>
    </row>
    <row r="129" spans="1:40" ht="14.4" x14ac:dyDescent="0.3">
      <c r="A129" s="147" t="s">
        <v>1009</v>
      </c>
      <c r="B129" s="148">
        <v>0</v>
      </c>
      <c r="C129" s="148">
        <v>0</v>
      </c>
      <c r="D129" s="148">
        <v>0</v>
      </c>
      <c r="E129" s="148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0"/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>
        <v>0</v>
      </c>
      <c r="AA129" s="10"/>
      <c r="AB129" s="148">
        <v>0</v>
      </c>
      <c r="AC129" s="148">
        <v>0</v>
      </c>
      <c r="AD129" s="148">
        <v>0</v>
      </c>
      <c r="AE129" s="148">
        <v>0</v>
      </c>
      <c r="AF129" s="148">
        <v>0</v>
      </c>
      <c r="AG129" s="148">
        <v>0</v>
      </c>
      <c r="AH129" s="148">
        <v>0</v>
      </c>
      <c r="AI129" s="148">
        <v>0</v>
      </c>
      <c r="AJ129" s="148">
        <v>0</v>
      </c>
      <c r="AK129" s="148">
        <v>0</v>
      </c>
      <c r="AL129" s="148">
        <v>0</v>
      </c>
      <c r="AM129" s="148">
        <v>0</v>
      </c>
      <c r="AN129" s="10"/>
    </row>
    <row r="130" spans="1:40" ht="14.4" x14ac:dyDescent="0.3">
      <c r="A130" s="147" t="s">
        <v>1010</v>
      </c>
      <c r="B130" s="148">
        <v>0</v>
      </c>
      <c r="C130" s="148">
        <v>0</v>
      </c>
      <c r="D130" s="148">
        <v>0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0"/>
      <c r="O130" s="148">
        <v>0</v>
      </c>
      <c r="P130" s="148">
        <v>0</v>
      </c>
      <c r="Q130" s="148">
        <v>0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  <c r="X130" s="148">
        <v>0</v>
      </c>
      <c r="Y130" s="148">
        <v>0</v>
      </c>
      <c r="Z130" s="148">
        <v>0</v>
      </c>
      <c r="AA130" s="10"/>
      <c r="AB130" s="148">
        <v>0</v>
      </c>
      <c r="AC130" s="148">
        <v>0</v>
      </c>
      <c r="AD130" s="148">
        <v>0</v>
      </c>
      <c r="AE130" s="148">
        <v>0</v>
      </c>
      <c r="AF130" s="148">
        <v>0</v>
      </c>
      <c r="AG130" s="148">
        <v>0</v>
      </c>
      <c r="AH130" s="148">
        <v>0</v>
      </c>
      <c r="AI130" s="148">
        <v>0</v>
      </c>
      <c r="AJ130" s="148">
        <v>0</v>
      </c>
      <c r="AK130" s="148">
        <v>0</v>
      </c>
      <c r="AL130" s="148">
        <v>0</v>
      </c>
      <c r="AM130" s="148">
        <v>0</v>
      </c>
      <c r="AN130" s="10"/>
    </row>
    <row r="131" spans="1:40" ht="14.4" x14ac:dyDescent="0.3">
      <c r="A131" s="147" t="s">
        <v>1011</v>
      </c>
      <c r="B131" s="148">
        <v>0</v>
      </c>
      <c r="C131" s="148">
        <v>0</v>
      </c>
      <c r="D131" s="148">
        <v>0</v>
      </c>
      <c r="E131" s="148"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0"/>
      <c r="O131" s="148">
        <v>0</v>
      </c>
      <c r="P131" s="148">
        <v>0</v>
      </c>
      <c r="Q131" s="148">
        <v>0</v>
      </c>
      <c r="R131" s="148">
        <v>0</v>
      </c>
      <c r="S131" s="148">
        <v>0</v>
      </c>
      <c r="T131" s="148">
        <v>0</v>
      </c>
      <c r="U131" s="148">
        <v>0</v>
      </c>
      <c r="V131" s="148">
        <v>0</v>
      </c>
      <c r="W131" s="148">
        <v>0</v>
      </c>
      <c r="X131" s="148">
        <v>0</v>
      </c>
      <c r="Y131" s="148">
        <v>0</v>
      </c>
      <c r="Z131" s="148">
        <v>0</v>
      </c>
      <c r="AA131" s="10"/>
      <c r="AB131" s="148">
        <v>0</v>
      </c>
      <c r="AC131" s="148">
        <v>0</v>
      </c>
      <c r="AD131" s="148">
        <v>0</v>
      </c>
      <c r="AE131" s="148">
        <v>0</v>
      </c>
      <c r="AF131" s="148">
        <v>0</v>
      </c>
      <c r="AG131" s="148">
        <v>0</v>
      </c>
      <c r="AH131" s="148">
        <v>0</v>
      </c>
      <c r="AI131" s="148">
        <v>0</v>
      </c>
      <c r="AJ131" s="148">
        <v>0</v>
      </c>
      <c r="AK131" s="148">
        <v>0</v>
      </c>
      <c r="AL131" s="148">
        <v>0</v>
      </c>
      <c r="AM131" s="148">
        <v>0</v>
      </c>
      <c r="AN131" s="10"/>
    </row>
    <row r="132" spans="1:40" ht="14.4" x14ac:dyDescent="0.3">
      <c r="A132" s="147" t="s">
        <v>1012</v>
      </c>
      <c r="B132" s="148">
        <v>0</v>
      </c>
      <c r="C132" s="148">
        <v>0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0"/>
      <c r="O132" s="148">
        <v>0</v>
      </c>
      <c r="P132" s="148">
        <v>0</v>
      </c>
      <c r="Q132" s="148">
        <v>0</v>
      </c>
      <c r="R132" s="148">
        <v>0</v>
      </c>
      <c r="S132" s="148">
        <v>0</v>
      </c>
      <c r="T132" s="148">
        <v>0</v>
      </c>
      <c r="U132" s="148">
        <v>0</v>
      </c>
      <c r="V132" s="148">
        <v>0</v>
      </c>
      <c r="W132" s="148">
        <v>0</v>
      </c>
      <c r="X132" s="148">
        <v>0</v>
      </c>
      <c r="Y132" s="148">
        <v>0</v>
      </c>
      <c r="Z132" s="148">
        <v>0</v>
      </c>
      <c r="AA132" s="10"/>
      <c r="AB132" s="148">
        <v>0</v>
      </c>
      <c r="AC132" s="148">
        <v>0</v>
      </c>
      <c r="AD132" s="148">
        <v>0</v>
      </c>
      <c r="AE132" s="148">
        <v>0</v>
      </c>
      <c r="AF132" s="148">
        <v>0</v>
      </c>
      <c r="AG132" s="148">
        <v>0</v>
      </c>
      <c r="AH132" s="148">
        <v>0</v>
      </c>
      <c r="AI132" s="148">
        <v>0</v>
      </c>
      <c r="AJ132" s="148">
        <v>0</v>
      </c>
      <c r="AK132" s="148">
        <v>0</v>
      </c>
      <c r="AL132" s="148">
        <v>0</v>
      </c>
      <c r="AM132" s="148">
        <v>0</v>
      </c>
      <c r="AN132" s="10"/>
    </row>
    <row r="133" spans="1:40" ht="14.4" x14ac:dyDescent="0.3">
      <c r="A133" s="147" t="s">
        <v>1013</v>
      </c>
      <c r="B133" s="148">
        <v>0</v>
      </c>
      <c r="C133" s="148">
        <v>0</v>
      </c>
      <c r="D133" s="148">
        <v>0</v>
      </c>
      <c r="E133" s="148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0"/>
      <c r="O133" s="148">
        <v>0</v>
      </c>
      <c r="P133" s="148">
        <v>0</v>
      </c>
      <c r="Q133" s="148">
        <v>0</v>
      </c>
      <c r="R133" s="148">
        <v>0</v>
      </c>
      <c r="S133" s="148">
        <v>0</v>
      </c>
      <c r="T133" s="148">
        <v>0</v>
      </c>
      <c r="U133" s="148">
        <v>0</v>
      </c>
      <c r="V133" s="148">
        <v>0</v>
      </c>
      <c r="W133" s="148">
        <v>0</v>
      </c>
      <c r="X133" s="148">
        <v>0</v>
      </c>
      <c r="Y133" s="148">
        <v>0</v>
      </c>
      <c r="Z133" s="148">
        <v>0</v>
      </c>
      <c r="AA133" s="10"/>
      <c r="AB133" s="148">
        <v>0</v>
      </c>
      <c r="AC133" s="148">
        <v>0</v>
      </c>
      <c r="AD133" s="148">
        <v>0</v>
      </c>
      <c r="AE133" s="148">
        <v>0</v>
      </c>
      <c r="AF133" s="148">
        <v>0</v>
      </c>
      <c r="AG133" s="148">
        <v>0</v>
      </c>
      <c r="AH133" s="148">
        <v>0</v>
      </c>
      <c r="AI133" s="148">
        <v>0</v>
      </c>
      <c r="AJ133" s="148">
        <v>0</v>
      </c>
      <c r="AK133" s="148">
        <v>0</v>
      </c>
      <c r="AL133" s="148">
        <v>0</v>
      </c>
      <c r="AM133" s="148">
        <v>0</v>
      </c>
      <c r="AN133" s="10"/>
    </row>
    <row r="134" spans="1:40" ht="14.4" x14ac:dyDescent="0.3">
      <c r="A134" s="147" t="s">
        <v>1014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4.4" x14ac:dyDescent="0.3">
      <c r="A135" s="147" t="s">
        <v>1015</v>
      </c>
      <c r="B135" s="148">
        <v>202004</v>
      </c>
      <c r="C135" s="148">
        <v>202004</v>
      </c>
      <c r="D135" s="148">
        <v>202004</v>
      </c>
      <c r="E135" s="148">
        <v>202004</v>
      </c>
      <c r="F135" s="148">
        <v>202004</v>
      </c>
      <c r="G135" s="148">
        <v>202004</v>
      </c>
      <c r="H135" s="148">
        <v>202004</v>
      </c>
      <c r="I135" s="148">
        <v>202004</v>
      </c>
      <c r="J135" s="148">
        <v>202004</v>
      </c>
      <c r="K135" s="148">
        <v>202004</v>
      </c>
      <c r="L135" s="148">
        <v>202004</v>
      </c>
      <c r="M135" s="148">
        <v>202004</v>
      </c>
      <c r="N135" s="10"/>
      <c r="O135" s="148">
        <v>202004</v>
      </c>
      <c r="P135" s="148">
        <v>202004</v>
      </c>
      <c r="Q135" s="148">
        <v>202004</v>
      </c>
      <c r="R135" s="148">
        <v>202004</v>
      </c>
      <c r="S135" s="148">
        <v>202004</v>
      </c>
      <c r="T135" s="148">
        <v>202004</v>
      </c>
      <c r="U135" s="148">
        <v>202004</v>
      </c>
      <c r="V135" s="148">
        <v>202004</v>
      </c>
      <c r="W135" s="148">
        <v>202004</v>
      </c>
      <c r="X135" s="148">
        <v>202004</v>
      </c>
      <c r="Y135" s="148">
        <v>202004</v>
      </c>
      <c r="Z135" s="148">
        <v>202004</v>
      </c>
      <c r="AA135" s="10"/>
      <c r="AB135" s="148">
        <v>202004</v>
      </c>
      <c r="AC135" s="148">
        <v>202004</v>
      </c>
      <c r="AD135" s="148">
        <v>202004</v>
      </c>
      <c r="AE135" s="148">
        <v>202004</v>
      </c>
      <c r="AF135" s="148">
        <v>202004</v>
      </c>
      <c r="AG135" s="148">
        <v>202004</v>
      </c>
      <c r="AH135" s="148">
        <v>202004</v>
      </c>
      <c r="AI135" s="148">
        <v>202004</v>
      </c>
      <c r="AJ135" s="148">
        <v>202004</v>
      </c>
      <c r="AK135" s="148">
        <v>202004</v>
      </c>
      <c r="AL135" s="148">
        <v>202004</v>
      </c>
      <c r="AM135" s="148">
        <v>202004</v>
      </c>
      <c r="AN135" s="10"/>
    </row>
    <row r="136" spans="1:40" ht="14.4" x14ac:dyDescent="0.3">
      <c r="A136" s="147" t="s">
        <v>1016</v>
      </c>
      <c r="B136" s="148">
        <v>202005</v>
      </c>
      <c r="C136" s="148">
        <v>202005</v>
      </c>
      <c r="D136" s="148">
        <v>202005</v>
      </c>
      <c r="E136" s="148">
        <v>202005</v>
      </c>
      <c r="F136" s="148">
        <v>202005</v>
      </c>
      <c r="G136" s="148">
        <v>202005</v>
      </c>
      <c r="H136" s="148">
        <v>202005</v>
      </c>
      <c r="I136" s="148">
        <v>202005</v>
      </c>
      <c r="J136" s="148">
        <v>202005</v>
      </c>
      <c r="K136" s="148">
        <v>202005</v>
      </c>
      <c r="L136" s="148">
        <v>202005</v>
      </c>
      <c r="M136" s="148">
        <v>202005</v>
      </c>
      <c r="N136" s="10"/>
      <c r="O136" s="148">
        <v>202005</v>
      </c>
      <c r="P136" s="148">
        <v>202005</v>
      </c>
      <c r="Q136" s="148">
        <v>202005</v>
      </c>
      <c r="R136" s="148">
        <v>202005</v>
      </c>
      <c r="S136" s="148">
        <v>202005</v>
      </c>
      <c r="T136" s="148">
        <v>202005</v>
      </c>
      <c r="U136" s="148">
        <v>202005</v>
      </c>
      <c r="V136" s="148">
        <v>202005</v>
      </c>
      <c r="W136" s="148">
        <v>202005</v>
      </c>
      <c r="X136" s="148">
        <v>202005</v>
      </c>
      <c r="Y136" s="148">
        <v>202005</v>
      </c>
      <c r="Z136" s="148">
        <v>202005</v>
      </c>
      <c r="AA136" s="10"/>
      <c r="AB136" s="148">
        <v>202005</v>
      </c>
      <c r="AC136" s="148">
        <v>202005</v>
      </c>
      <c r="AD136" s="148">
        <v>202005</v>
      </c>
      <c r="AE136" s="148">
        <v>202005</v>
      </c>
      <c r="AF136" s="148">
        <v>202005</v>
      </c>
      <c r="AG136" s="148">
        <v>202005</v>
      </c>
      <c r="AH136" s="148">
        <v>202005</v>
      </c>
      <c r="AI136" s="148">
        <v>202005</v>
      </c>
      <c r="AJ136" s="148">
        <v>202005</v>
      </c>
      <c r="AK136" s="148">
        <v>202005</v>
      </c>
      <c r="AL136" s="148">
        <v>202005</v>
      </c>
      <c r="AM136" s="148">
        <v>202005</v>
      </c>
      <c r="AN136" s="10"/>
    </row>
    <row r="137" spans="1:40" ht="14.4" x14ac:dyDescent="0.3">
      <c r="A137" s="147" t="s">
        <v>788</v>
      </c>
      <c r="B137" s="148">
        <v>0</v>
      </c>
      <c r="C137" s="148">
        <v>0</v>
      </c>
      <c r="D137" s="148">
        <v>0</v>
      </c>
      <c r="E137" s="148">
        <v>0</v>
      </c>
      <c r="F137" s="148">
        <v>0</v>
      </c>
      <c r="G137" s="148">
        <v>0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0"/>
      <c r="O137" s="148">
        <v>0</v>
      </c>
      <c r="P137" s="148">
        <v>0</v>
      </c>
      <c r="Q137" s="148">
        <v>0</v>
      </c>
      <c r="R137" s="148">
        <v>0</v>
      </c>
      <c r="S137" s="148">
        <v>0</v>
      </c>
      <c r="T137" s="148">
        <v>0</v>
      </c>
      <c r="U137" s="148">
        <v>0</v>
      </c>
      <c r="V137" s="148">
        <v>0</v>
      </c>
      <c r="W137" s="148">
        <v>0</v>
      </c>
      <c r="X137" s="148">
        <v>0</v>
      </c>
      <c r="Y137" s="148">
        <v>0</v>
      </c>
      <c r="Z137" s="148">
        <v>0</v>
      </c>
      <c r="AA137" s="10"/>
      <c r="AB137" s="148">
        <v>0</v>
      </c>
      <c r="AC137" s="148">
        <v>0</v>
      </c>
      <c r="AD137" s="148">
        <v>0</v>
      </c>
      <c r="AE137" s="148">
        <v>1</v>
      </c>
      <c r="AF137" s="148">
        <v>0</v>
      </c>
      <c r="AG137" s="148">
        <v>0</v>
      </c>
      <c r="AH137" s="148">
        <v>0</v>
      </c>
      <c r="AI137" s="148">
        <v>0</v>
      </c>
      <c r="AJ137" s="148">
        <v>0</v>
      </c>
      <c r="AK137" s="148">
        <v>0</v>
      </c>
      <c r="AL137" s="148">
        <v>0</v>
      </c>
      <c r="AM137" s="148">
        <v>0</v>
      </c>
      <c r="AN137" s="10"/>
    </row>
    <row r="138" spans="1:40" ht="14.4" x14ac:dyDescent="0.3">
      <c r="A138" s="147" t="s">
        <v>1017</v>
      </c>
      <c r="B138" s="148">
        <v>0</v>
      </c>
      <c r="C138" s="148">
        <v>0</v>
      </c>
      <c r="D138" s="148">
        <v>0</v>
      </c>
      <c r="E138" s="148">
        <v>0</v>
      </c>
      <c r="F138" s="148">
        <v>0</v>
      </c>
      <c r="G138" s="148">
        <v>0</v>
      </c>
      <c r="H138" s="148">
        <v>0</v>
      </c>
      <c r="I138" s="148">
        <v>0</v>
      </c>
      <c r="J138" s="148">
        <v>0</v>
      </c>
      <c r="K138" s="148">
        <v>0</v>
      </c>
      <c r="L138" s="148">
        <v>0</v>
      </c>
      <c r="M138" s="148">
        <v>0</v>
      </c>
      <c r="N138" s="10"/>
      <c r="O138" s="148">
        <v>0</v>
      </c>
      <c r="P138" s="148">
        <v>0</v>
      </c>
      <c r="Q138" s="148">
        <v>0</v>
      </c>
      <c r="R138" s="148">
        <v>0</v>
      </c>
      <c r="S138" s="148">
        <v>0</v>
      </c>
      <c r="T138" s="148">
        <v>0</v>
      </c>
      <c r="U138" s="148">
        <v>0</v>
      </c>
      <c r="V138" s="148">
        <v>0</v>
      </c>
      <c r="W138" s="148">
        <v>0</v>
      </c>
      <c r="X138" s="148">
        <v>0</v>
      </c>
      <c r="Y138" s="148">
        <v>0</v>
      </c>
      <c r="Z138" s="148">
        <v>0</v>
      </c>
      <c r="AA138" s="10"/>
      <c r="AB138" s="148">
        <v>0</v>
      </c>
      <c r="AC138" s="148">
        <v>0</v>
      </c>
      <c r="AD138" s="148">
        <v>0</v>
      </c>
      <c r="AE138" s="148">
        <v>1</v>
      </c>
      <c r="AF138" s="148">
        <v>0</v>
      </c>
      <c r="AG138" s="148">
        <v>0</v>
      </c>
      <c r="AH138" s="148">
        <v>0</v>
      </c>
      <c r="AI138" s="148">
        <v>0</v>
      </c>
      <c r="AJ138" s="148">
        <v>0</v>
      </c>
      <c r="AK138" s="148">
        <v>0</v>
      </c>
      <c r="AL138" s="148">
        <v>0</v>
      </c>
      <c r="AM138" s="148">
        <v>0</v>
      </c>
      <c r="AN138" s="10"/>
    </row>
    <row r="139" spans="1:40" ht="14.4" x14ac:dyDescent="0.3">
      <c r="A139" s="147" t="s">
        <v>1018</v>
      </c>
      <c r="B139" s="148">
        <v>0</v>
      </c>
      <c r="C139" s="148">
        <v>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  <c r="I139" s="148">
        <v>0</v>
      </c>
      <c r="J139" s="148">
        <v>0</v>
      </c>
      <c r="K139" s="148">
        <v>0</v>
      </c>
      <c r="L139" s="148">
        <v>0</v>
      </c>
      <c r="M139" s="148">
        <v>0</v>
      </c>
      <c r="N139" s="10"/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T139" s="148">
        <v>0</v>
      </c>
      <c r="U139" s="148">
        <v>0</v>
      </c>
      <c r="V139" s="148">
        <v>0</v>
      </c>
      <c r="W139" s="148">
        <v>0</v>
      </c>
      <c r="X139" s="148">
        <v>0</v>
      </c>
      <c r="Y139" s="148">
        <v>0</v>
      </c>
      <c r="Z139" s="148">
        <v>0</v>
      </c>
      <c r="AA139" s="10"/>
      <c r="AB139" s="148">
        <v>0</v>
      </c>
      <c r="AC139" s="148">
        <v>0</v>
      </c>
      <c r="AD139" s="148">
        <v>0</v>
      </c>
      <c r="AE139" s="148">
        <v>311.570127020055</v>
      </c>
      <c r="AF139" s="148">
        <v>0</v>
      </c>
      <c r="AG139" s="148">
        <v>0</v>
      </c>
      <c r="AH139" s="148">
        <v>0</v>
      </c>
      <c r="AI139" s="148">
        <v>0</v>
      </c>
      <c r="AJ139" s="148">
        <v>0</v>
      </c>
      <c r="AK139" s="148">
        <v>0</v>
      </c>
      <c r="AL139" s="148">
        <v>0</v>
      </c>
      <c r="AM139" s="148">
        <v>0</v>
      </c>
      <c r="AN139" s="10"/>
    </row>
    <row r="140" spans="1:40" ht="14.4" x14ac:dyDescent="0.3">
      <c r="A140" s="147" t="s">
        <v>791</v>
      </c>
      <c r="B140" s="148">
        <v>0</v>
      </c>
      <c r="C140" s="148">
        <v>0</v>
      </c>
      <c r="D140" s="148">
        <v>0</v>
      </c>
      <c r="E140" s="148">
        <v>0</v>
      </c>
      <c r="F140" s="148">
        <v>0</v>
      </c>
      <c r="G140" s="148">
        <v>0</v>
      </c>
      <c r="H140" s="148">
        <v>0</v>
      </c>
      <c r="I140" s="148">
        <v>0</v>
      </c>
      <c r="J140" s="148">
        <v>0</v>
      </c>
      <c r="K140" s="148">
        <v>0</v>
      </c>
      <c r="L140" s="148">
        <v>0</v>
      </c>
      <c r="M140" s="148">
        <v>0</v>
      </c>
      <c r="N140" s="10"/>
      <c r="O140" s="148">
        <v>0</v>
      </c>
      <c r="P140" s="148">
        <v>0</v>
      </c>
      <c r="Q140" s="148">
        <v>0</v>
      </c>
      <c r="R140" s="148">
        <v>0</v>
      </c>
      <c r="S140" s="148">
        <v>0</v>
      </c>
      <c r="T140" s="148">
        <v>0</v>
      </c>
      <c r="U140" s="148">
        <v>0</v>
      </c>
      <c r="V140" s="148">
        <v>0</v>
      </c>
      <c r="W140" s="148">
        <v>0</v>
      </c>
      <c r="X140" s="148">
        <v>0</v>
      </c>
      <c r="Y140" s="148">
        <v>0</v>
      </c>
      <c r="Z140" s="148">
        <v>0</v>
      </c>
      <c r="AA140" s="10"/>
      <c r="AB140" s="148">
        <v>0</v>
      </c>
      <c r="AC140" s="148">
        <v>0</v>
      </c>
      <c r="AD140" s="148">
        <v>0</v>
      </c>
      <c r="AE140" s="148">
        <v>0</v>
      </c>
      <c r="AF140" s="148">
        <v>0</v>
      </c>
      <c r="AG140" s="148">
        <v>0</v>
      </c>
      <c r="AH140" s="148">
        <v>0</v>
      </c>
      <c r="AI140" s="148">
        <v>0</v>
      </c>
      <c r="AJ140" s="148">
        <v>0</v>
      </c>
      <c r="AK140" s="148">
        <v>0</v>
      </c>
      <c r="AL140" s="148">
        <v>0</v>
      </c>
      <c r="AM140" s="148">
        <v>0</v>
      </c>
      <c r="AN140" s="10"/>
    </row>
    <row r="141" spans="1:40" ht="14.4" x14ac:dyDescent="0.3">
      <c r="A141" s="147" t="s">
        <v>1019</v>
      </c>
      <c r="B141" s="148">
        <v>0</v>
      </c>
      <c r="C141" s="148">
        <v>0</v>
      </c>
      <c r="D141" s="148">
        <v>0</v>
      </c>
      <c r="E141" s="148">
        <v>0</v>
      </c>
      <c r="F141" s="148">
        <v>0</v>
      </c>
      <c r="G141" s="148">
        <v>0</v>
      </c>
      <c r="H141" s="148">
        <v>0</v>
      </c>
      <c r="I141" s="148">
        <v>0</v>
      </c>
      <c r="J141" s="148">
        <v>0</v>
      </c>
      <c r="K141" s="148">
        <v>0</v>
      </c>
      <c r="L141" s="148">
        <v>0</v>
      </c>
      <c r="M141" s="148">
        <v>0</v>
      </c>
      <c r="N141" s="10"/>
      <c r="O141" s="148">
        <v>0</v>
      </c>
      <c r="P141" s="148">
        <v>0</v>
      </c>
      <c r="Q141" s="148">
        <v>0</v>
      </c>
      <c r="R141" s="148">
        <v>0</v>
      </c>
      <c r="S141" s="148">
        <v>0</v>
      </c>
      <c r="T141" s="148">
        <v>0</v>
      </c>
      <c r="U141" s="148">
        <v>0</v>
      </c>
      <c r="V141" s="148">
        <v>0</v>
      </c>
      <c r="W141" s="148">
        <v>0</v>
      </c>
      <c r="X141" s="148">
        <v>0</v>
      </c>
      <c r="Y141" s="148">
        <v>0</v>
      </c>
      <c r="Z141" s="148">
        <v>0</v>
      </c>
      <c r="AA141" s="10"/>
      <c r="AB141" s="148">
        <v>0</v>
      </c>
      <c r="AC141" s="148">
        <v>0</v>
      </c>
      <c r="AD141" s="148">
        <v>0</v>
      </c>
      <c r="AE141" s="148">
        <v>0</v>
      </c>
      <c r="AF141" s="148">
        <v>0</v>
      </c>
      <c r="AG141" s="148">
        <v>0</v>
      </c>
      <c r="AH141" s="148">
        <v>0</v>
      </c>
      <c r="AI141" s="148">
        <v>0</v>
      </c>
      <c r="AJ141" s="148">
        <v>0</v>
      </c>
      <c r="AK141" s="148">
        <v>0</v>
      </c>
      <c r="AL141" s="148">
        <v>0</v>
      </c>
      <c r="AM141" s="148">
        <v>0</v>
      </c>
      <c r="AN141" s="10"/>
    </row>
    <row r="142" spans="1:40" ht="14.4" x14ac:dyDescent="0.3">
      <c r="A142" s="147" t="s">
        <v>1020</v>
      </c>
      <c r="B142" s="148">
        <v>0</v>
      </c>
      <c r="C142" s="148">
        <v>0</v>
      </c>
      <c r="D142" s="148">
        <v>0</v>
      </c>
      <c r="E142" s="148">
        <v>0</v>
      </c>
      <c r="F142" s="148">
        <v>0</v>
      </c>
      <c r="G142" s="148">
        <v>0</v>
      </c>
      <c r="H142" s="148">
        <v>0</v>
      </c>
      <c r="I142" s="148">
        <v>0</v>
      </c>
      <c r="J142" s="148">
        <v>0</v>
      </c>
      <c r="K142" s="148">
        <v>0</v>
      </c>
      <c r="L142" s="148">
        <v>0</v>
      </c>
      <c r="M142" s="148">
        <v>0</v>
      </c>
      <c r="N142" s="10"/>
      <c r="O142" s="148">
        <v>0</v>
      </c>
      <c r="P142" s="148">
        <v>0</v>
      </c>
      <c r="Q142" s="148">
        <v>0</v>
      </c>
      <c r="R142" s="148">
        <v>0</v>
      </c>
      <c r="S142" s="148">
        <v>0</v>
      </c>
      <c r="T142" s="148">
        <v>0</v>
      </c>
      <c r="U142" s="148">
        <v>0</v>
      </c>
      <c r="V142" s="148">
        <v>0</v>
      </c>
      <c r="W142" s="148">
        <v>0</v>
      </c>
      <c r="X142" s="148">
        <v>0</v>
      </c>
      <c r="Y142" s="148">
        <v>0</v>
      </c>
      <c r="Z142" s="148">
        <v>0</v>
      </c>
      <c r="AA142" s="10"/>
      <c r="AB142" s="148">
        <v>0</v>
      </c>
      <c r="AC142" s="148">
        <v>0</v>
      </c>
      <c r="AD142" s="148">
        <v>0</v>
      </c>
      <c r="AE142" s="148">
        <v>0</v>
      </c>
      <c r="AF142" s="148">
        <v>1</v>
      </c>
      <c r="AG142" s="148">
        <v>0</v>
      </c>
      <c r="AH142" s="148">
        <v>0</v>
      </c>
      <c r="AI142" s="148">
        <v>0</v>
      </c>
      <c r="AJ142" s="148">
        <v>0</v>
      </c>
      <c r="AK142" s="148">
        <v>0</v>
      </c>
      <c r="AL142" s="148">
        <v>0</v>
      </c>
      <c r="AM142" s="148">
        <v>0</v>
      </c>
      <c r="AN142" s="10"/>
    </row>
    <row r="143" spans="1:40" ht="14.4" x14ac:dyDescent="0.3">
      <c r="A143" s="147" t="s">
        <v>1021</v>
      </c>
      <c r="B143" s="148">
        <v>0</v>
      </c>
      <c r="C143" s="148">
        <v>0</v>
      </c>
      <c r="D143" s="148">
        <v>0</v>
      </c>
      <c r="E143" s="148">
        <v>0</v>
      </c>
      <c r="F143" s="148">
        <v>0</v>
      </c>
      <c r="G143" s="148"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0"/>
      <c r="O143" s="148">
        <v>0</v>
      </c>
      <c r="P143" s="148">
        <v>0</v>
      </c>
      <c r="Q143" s="148">
        <v>0</v>
      </c>
      <c r="R143" s="148">
        <v>0</v>
      </c>
      <c r="S143" s="148">
        <v>0</v>
      </c>
      <c r="T143" s="148">
        <v>0</v>
      </c>
      <c r="U143" s="148">
        <v>0</v>
      </c>
      <c r="V143" s="148">
        <v>0</v>
      </c>
      <c r="W143" s="148">
        <v>0</v>
      </c>
      <c r="X143" s="148">
        <v>0</v>
      </c>
      <c r="Y143" s="148">
        <v>0</v>
      </c>
      <c r="Z143" s="148">
        <v>0</v>
      </c>
      <c r="AA143" s="10"/>
      <c r="AB143" s="148">
        <v>0</v>
      </c>
      <c r="AC143" s="148">
        <v>0</v>
      </c>
      <c r="AD143" s="148">
        <v>0</v>
      </c>
      <c r="AE143" s="148">
        <v>0</v>
      </c>
      <c r="AF143" s="148">
        <v>-311.570127020055</v>
      </c>
      <c r="AG143" s="148">
        <v>0</v>
      </c>
      <c r="AH143" s="148">
        <v>0</v>
      </c>
      <c r="AI143" s="148">
        <v>0</v>
      </c>
      <c r="AJ143" s="148">
        <v>0</v>
      </c>
      <c r="AK143" s="148">
        <v>0</v>
      </c>
      <c r="AL143" s="148">
        <v>0</v>
      </c>
      <c r="AM143" s="148">
        <v>0</v>
      </c>
      <c r="AN143" s="10"/>
    </row>
    <row r="144" spans="1:40" ht="14.4" x14ac:dyDescent="0.3">
      <c r="A144" s="147" t="s">
        <v>1022</v>
      </c>
      <c r="B144" s="148">
        <v>0</v>
      </c>
      <c r="C144" s="148">
        <v>0</v>
      </c>
      <c r="D144" s="148">
        <v>0</v>
      </c>
      <c r="E144" s="148">
        <v>0</v>
      </c>
      <c r="F144" s="148">
        <v>0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0"/>
      <c r="O144" s="148">
        <v>0</v>
      </c>
      <c r="P144" s="148">
        <v>0</v>
      </c>
      <c r="Q144" s="148">
        <v>0</v>
      </c>
      <c r="R144" s="148">
        <v>0</v>
      </c>
      <c r="S144" s="148">
        <v>0</v>
      </c>
      <c r="T144" s="148">
        <v>0</v>
      </c>
      <c r="U144" s="148">
        <v>0</v>
      </c>
      <c r="V144" s="148">
        <v>0</v>
      </c>
      <c r="W144" s="148">
        <v>0</v>
      </c>
      <c r="X144" s="148">
        <v>0</v>
      </c>
      <c r="Y144" s="148">
        <v>0</v>
      </c>
      <c r="Z144" s="148">
        <v>0</v>
      </c>
      <c r="AA144" s="10"/>
      <c r="AB144" s="148">
        <v>0</v>
      </c>
      <c r="AC144" s="148">
        <v>0</v>
      </c>
      <c r="AD144" s="148">
        <v>0</v>
      </c>
      <c r="AE144" s="148">
        <v>0</v>
      </c>
      <c r="AF144" s="148">
        <v>0</v>
      </c>
      <c r="AG144" s="148">
        <v>0</v>
      </c>
      <c r="AH144" s="148">
        <v>0</v>
      </c>
      <c r="AI144" s="148">
        <v>0</v>
      </c>
      <c r="AJ144" s="148">
        <v>0</v>
      </c>
      <c r="AK144" s="148">
        <v>0</v>
      </c>
      <c r="AL144" s="148">
        <v>0</v>
      </c>
      <c r="AM144" s="148">
        <v>0</v>
      </c>
      <c r="AN144" s="10"/>
    </row>
    <row r="145" spans="1:40" ht="14.4" x14ac:dyDescent="0.3">
      <c r="A145" s="147" t="s">
        <v>1023</v>
      </c>
      <c r="B145" s="148">
        <v>0</v>
      </c>
      <c r="C145" s="148">
        <v>0</v>
      </c>
      <c r="D145" s="148">
        <v>0</v>
      </c>
      <c r="E145" s="148">
        <v>0</v>
      </c>
      <c r="F145" s="148">
        <v>0</v>
      </c>
      <c r="G145" s="148">
        <v>0</v>
      </c>
      <c r="H145" s="148">
        <v>0</v>
      </c>
      <c r="I145" s="148">
        <v>0</v>
      </c>
      <c r="J145" s="148">
        <v>0</v>
      </c>
      <c r="K145" s="148">
        <v>0</v>
      </c>
      <c r="L145" s="148">
        <v>0</v>
      </c>
      <c r="M145" s="148">
        <v>0</v>
      </c>
      <c r="N145" s="10"/>
      <c r="O145" s="148">
        <v>0</v>
      </c>
      <c r="P145" s="148">
        <v>0</v>
      </c>
      <c r="Q145" s="148">
        <v>0</v>
      </c>
      <c r="R145" s="148">
        <v>0</v>
      </c>
      <c r="S145" s="148">
        <v>0</v>
      </c>
      <c r="T145" s="148">
        <v>0</v>
      </c>
      <c r="U145" s="148">
        <v>0</v>
      </c>
      <c r="V145" s="148">
        <v>0</v>
      </c>
      <c r="W145" s="148">
        <v>0</v>
      </c>
      <c r="X145" s="148">
        <v>0</v>
      </c>
      <c r="Y145" s="148">
        <v>0</v>
      </c>
      <c r="Z145" s="148">
        <v>0</v>
      </c>
      <c r="AA145" s="10"/>
      <c r="AB145" s="148">
        <v>0</v>
      </c>
      <c r="AC145" s="148">
        <v>0</v>
      </c>
      <c r="AD145" s="148">
        <v>0</v>
      </c>
      <c r="AE145" s="148">
        <v>311.570127020055</v>
      </c>
      <c r="AF145" s="148">
        <v>-311.570127020055</v>
      </c>
      <c r="AG145" s="148">
        <v>0</v>
      </c>
      <c r="AH145" s="148">
        <v>0</v>
      </c>
      <c r="AI145" s="148">
        <v>0</v>
      </c>
      <c r="AJ145" s="148">
        <v>0</v>
      </c>
      <c r="AK145" s="148">
        <v>0</v>
      </c>
      <c r="AL145" s="148">
        <v>0</v>
      </c>
      <c r="AM145" s="148">
        <v>0</v>
      </c>
      <c r="AN145" s="10"/>
    </row>
    <row r="146" spans="1:40" ht="14.4" x14ac:dyDescent="0.3">
      <c r="A146" s="147" t="s">
        <v>511</v>
      </c>
      <c r="B146" s="148">
        <v>0</v>
      </c>
      <c r="C146" s="148">
        <v>0</v>
      </c>
      <c r="D146" s="148">
        <v>0</v>
      </c>
      <c r="E146" s="148">
        <v>0</v>
      </c>
      <c r="F146" s="148">
        <v>0</v>
      </c>
      <c r="G146" s="148">
        <v>0</v>
      </c>
      <c r="H146" s="148">
        <v>0</v>
      </c>
      <c r="I146" s="148">
        <v>0</v>
      </c>
      <c r="J146" s="148">
        <v>0</v>
      </c>
      <c r="K146" s="148">
        <v>0</v>
      </c>
      <c r="L146" s="148">
        <v>0</v>
      </c>
      <c r="M146" s="148">
        <v>0</v>
      </c>
      <c r="N146" s="10"/>
      <c r="O146" s="148">
        <v>0</v>
      </c>
      <c r="P146" s="148">
        <v>0</v>
      </c>
      <c r="Q146" s="148">
        <v>0</v>
      </c>
      <c r="R146" s="148">
        <v>0</v>
      </c>
      <c r="S146" s="148">
        <v>0</v>
      </c>
      <c r="T146" s="148">
        <v>0</v>
      </c>
      <c r="U146" s="148">
        <v>0</v>
      </c>
      <c r="V146" s="148">
        <v>0</v>
      </c>
      <c r="W146" s="148">
        <v>0</v>
      </c>
      <c r="X146" s="148">
        <v>0</v>
      </c>
      <c r="Y146" s="148">
        <v>0</v>
      </c>
      <c r="Z146" s="148">
        <v>0</v>
      </c>
      <c r="AA146" s="10"/>
      <c r="AB146" s="148">
        <v>0</v>
      </c>
      <c r="AC146" s="148">
        <v>0</v>
      </c>
      <c r="AD146" s="148">
        <v>0</v>
      </c>
      <c r="AE146" s="148">
        <v>0</v>
      </c>
      <c r="AF146" s="148">
        <v>0</v>
      </c>
      <c r="AG146" s="148">
        <v>0</v>
      </c>
      <c r="AH146" s="148">
        <v>0</v>
      </c>
      <c r="AI146" s="148">
        <v>0</v>
      </c>
      <c r="AJ146" s="148">
        <v>0</v>
      </c>
      <c r="AK146" s="148">
        <v>0</v>
      </c>
      <c r="AL146" s="148">
        <v>0</v>
      </c>
      <c r="AM146" s="148">
        <v>0</v>
      </c>
      <c r="AN146" s="10"/>
    </row>
    <row r="147" spans="1:40" ht="14.4" x14ac:dyDescent="0.3">
      <c r="A147" s="147" t="s">
        <v>796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4.4" x14ac:dyDescent="0.3">
      <c r="A148" s="147" t="s">
        <v>797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4.4" x14ac:dyDescent="0.3">
      <c r="A149" s="147" t="s">
        <v>798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4.4" x14ac:dyDescent="0.3">
      <c r="A150" s="147" t="s">
        <v>799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4.4" x14ac:dyDescent="0.3">
      <c r="A151" s="147" t="s">
        <v>800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4.4" x14ac:dyDescent="0.3">
      <c r="A152" s="147" t="s">
        <v>801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4.4" x14ac:dyDescent="0.3">
      <c r="A153" s="147" t="s">
        <v>802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4.4" x14ac:dyDescent="0.3">
      <c r="A154" s="147" t="s">
        <v>803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4.4" x14ac:dyDescent="0.3">
      <c r="A155" s="147" t="s">
        <v>804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4.4" x14ac:dyDescent="0.3">
      <c r="A156" s="147" t="s">
        <v>805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4.4" x14ac:dyDescent="0.3">
      <c r="A157" s="147" t="s">
        <v>806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4.4" x14ac:dyDescent="0.3">
      <c r="A158" s="149" t="s">
        <v>807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4.4" x14ac:dyDescent="0.3">
      <c r="A159" s="147" t="s">
        <v>808</v>
      </c>
      <c r="B159" s="148">
        <v>8403.1094100800001</v>
      </c>
      <c r="C159" s="148">
        <v>5332.1734374649895</v>
      </c>
      <c r="D159" s="148">
        <v>-3612.6187832115602</v>
      </c>
      <c r="E159" s="148">
        <v>2033.03933797999</v>
      </c>
      <c r="F159" s="148">
        <v>4799.38435046</v>
      </c>
      <c r="G159" s="148">
        <v>-2909.26095142656</v>
      </c>
      <c r="H159" s="148">
        <v>5465.5605701097602</v>
      </c>
      <c r="I159" s="148">
        <v>5442.4627392522598</v>
      </c>
      <c r="J159" s="148">
        <v>-21762.041082516102</v>
      </c>
      <c r="K159" s="148">
        <v>1754.1293105475099</v>
      </c>
      <c r="L159" s="148">
        <v>3681.9403296856899</v>
      </c>
      <c r="M159" s="148">
        <v>-8627.8786684124007</v>
      </c>
      <c r="N159" s="10"/>
      <c r="O159" s="148">
        <v>6627.0191928328904</v>
      </c>
      <c r="P159" s="148">
        <v>5635.14052529332</v>
      </c>
      <c r="Q159" s="148">
        <v>-8589.0394431131099</v>
      </c>
      <c r="R159" s="148">
        <v>1754.42713418774</v>
      </c>
      <c r="S159" s="148">
        <v>3256.6436432630098</v>
      </c>
      <c r="T159" s="148">
        <v>-8303.6523044032801</v>
      </c>
      <c r="U159" s="148">
        <v>5211.6799255954302</v>
      </c>
      <c r="V159" s="148">
        <v>5458.4273228518196</v>
      </c>
      <c r="W159" s="148">
        <v>-9691.4513647690401</v>
      </c>
      <c r="X159" s="148">
        <v>1872.8863902299099</v>
      </c>
      <c r="Y159" s="148">
        <v>3560.0801262601999</v>
      </c>
      <c r="Z159" s="148">
        <v>-6792.1611490657597</v>
      </c>
      <c r="AA159" s="10"/>
      <c r="AB159" s="148">
        <v>7207.89900557906</v>
      </c>
      <c r="AC159" s="148">
        <v>6236.12802688784</v>
      </c>
      <c r="AD159" s="148">
        <v>450.73421477771399</v>
      </c>
      <c r="AE159" s="148">
        <v>1975.3979191291801</v>
      </c>
      <c r="AF159" s="148">
        <v>3242.2197195140202</v>
      </c>
      <c r="AG159" s="148">
        <v>50.121475755928898</v>
      </c>
      <c r="AH159" s="148">
        <v>5111.10300566353</v>
      </c>
      <c r="AI159" s="148">
        <v>5865.3694366517202</v>
      </c>
      <c r="AJ159" s="148">
        <v>-208.98304107865701</v>
      </c>
      <c r="AK159" s="148">
        <v>1670.44266633093</v>
      </c>
      <c r="AL159" s="148">
        <v>3277.7534360882</v>
      </c>
      <c r="AM159" s="148">
        <v>1425.6412692537599</v>
      </c>
      <c r="AN159" s="10"/>
    </row>
    <row r="160" spans="1:40" ht="14.4" x14ac:dyDescent="0.3">
      <c r="A160" s="147" t="s">
        <v>809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4.4" x14ac:dyDescent="0.3">
      <c r="A161" s="147" t="s">
        <v>810</v>
      </c>
      <c r="B161" s="148">
        <v>0</v>
      </c>
      <c r="C161" s="148">
        <v>0</v>
      </c>
      <c r="D161" s="148">
        <v>0</v>
      </c>
      <c r="E161" s="148">
        <v>0</v>
      </c>
      <c r="F161" s="148">
        <v>0</v>
      </c>
      <c r="G161" s="148">
        <v>0</v>
      </c>
      <c r="H161" s="148">
        <v>0</v>
      </c>
      <c r="I161" s="148">
        <v>0</v>
      </c>
      <c r="J161" s="148">
        <v>0</v>
      </c>
      <c r="K161" s="148">
        <v>0</v>
      </c>
      <c r="L161" s="148">
        <v>0</v>
      </c>
      <c r="M161" s="148">
        <v>0</v>
      </c>
      <c r="N161" s="10"/>
      <c r="O161" s="148">
        <v>0</v>
      </c>
      <c r="P161" s="148">
        <v>0</v>
      </c>
      <c r="Q161" s="148">
        <v>0</v>
      </c>
      <c r="R161" s="148">
        <v>0</v>
      </c>
      <c r="S161" s="148">
        <v>0</v>
      </c>
      <c r="T161" s="148">
        <v>0</v>
      </c>
      <c r="U161" s="148">
        <v>0</v>
      </c>
      <c r="V161" s="148">
        <v>0</v>
      </c>
      <c r="W161" s="148">
        <v>0</v>
      </c>
      <c r="X161" s="148">
        <v>0</v>
      </c>
      <c r="Y161" s="148">
        <v>0</v>
      </c>
      <c r="Z161" s="148">
        <v>0</v>
      </c>
      <c r="AA161" s="10"/>
      <c r="AB161" s="148">
        <v>0</v>
      </c>
      <c r="AC161" s="148">
        <v>0</v>
      </c>
      <c r="AD161" s="148">
        <v>0</v>
      </c>
      <c r="AE161" s="148">
        <v>0</v>
      </c>
      <c r="AF161" s="148">
        <v>0</v>
      </c>
      <c r="AG161" s="148">
        <v>0</v>
      </c>
      <c r="AH161" s="148">
        <v>0</v>
      </c>
      <c r="AI161" s="148">
        <v>0</v>
      </c>
      <c r="AJ161" s="148">
        <v>0</v>
      </c>
      <c r="AK161" s="148">
        <v>0</v>
      </c>
      <c r="AL161" s="148">
        <v>0</v>
      </c>
      <c r="AM161" s="148">
        <v>0</v>
      </c>
      <c r="AN161" s="10"/>
    </row>
    <row r="162" spans="1:40" ht="14.4" x14ac:dyDescent="0.3">
      <c r="A162" s="147" t="s">
        <v>811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4.4" x14ac:dyDescent="0.3">
      <c r="A163" s="147" t="s">
        <v>812</v>
      </c>
      <c r="B163" s="148">
        <v>8403.1094100800001</v>
      </c>
      <c r="C163" s="148">
        <v>5332.1734374649895</v>
      </c>
      <c r="D163" s="148">
        <v>-3612.6187832115602</v>
      </c>
      <c r="E163" s="148">
        <v>2033.03933797999</v>
      </c>
      <c r="F163" s="148">
        <v>4799.38435046</v>
      </c>
      <c r="G163" s="148">
        <v>-2909.26095142656</v>
      </c>
      <c r="H163" s="148">
        <v>5465.5605701097602</v>
      </c>
      <c r="I163" s="148">
        <v>5442.4627392522598</v>
      </c>
      <c r="J163" s="148">
        <v>-21762.041082516102</v>
      </c>
      <c r="K163" s="148">
        <v>1754.1293105475099</v>
      </c>
      <c r="L163" s="148">
        <v>3681.9403296856899</v>
      </c>
      <c r="M163" s="148">
        <v>-8627.8786684124007</v>
      </c>
      <c r="N163" s="10"/>
      <c r="O163" s="148">
        <v>6627.0191928328904</v>
      </c>
      <c r="P163" s="148">
        <v>5635.14052529332</v>
      </c>
      <c r="Q163" s="148">
        <v>-8589.0394431131099</v>
      </c>
      <c r="R163" s="148">
        <v>1754.42713418774</v>
      </c>
      <c r="S163" s="148">
        <v>3256.6436432630098</v>
      </c>
      <c r="T163" s="148">
        <v>-8303.6523044032801</v>
      </c>
      <c r="U163" s="148">
        <v>5211.6799255954302</v>
      </c>
      <c r="V163" s="148">
        <v>5458.4273228518196</v>
      </c>
      <c r="W163" s="148">
        <v>-9691.4513647690401</v>
      </c>
      <c r="X163" s="148">
        <v>1872.8863902299099</v>
      </c>
      <c r="Y163" s="148">
        <v>3560.0801262601999</v>
      </c>
      <c r="Z163" s="148">
        <v>-6792.1611490657597</v>
      </c>
      <c r="AA163" s="10"/>
      <c r="AB163" s="148">
        <v>7207.89900557906</v>
      </c>
      <c r="AC163" s="148">
        <v>6236.12802688784</v>
      </c>
      <c r="AD163" s="148">
        <v>450.73421477771399</v>
      </c>
      <c r="AE163" s="148">
        <v>1975.3979191291801</v>
      </c>
      <c r="AF163" s="148">
        <v>3242.2197195140202</v>
      </c>
      <c r="AG163" s="148">
        <v>50.121475755928898</v>
      </c>
      <c r="AH163" s="148">
        <v>5111.10300566353</v>
      </c>
      <c r="AI163" s="148">
        <v>5865.3694366517202</v>
      </c>
      <c r="AJ163" s="148">
        <v>-208.98304107865701</v>
      </c>
      <c r="AK163" s="148">
        <v>1670.44266633093</v>
      </c>
      <c r="AL163" s="148">
        <v>3277.7534360882</v>
      </c>
      <c r="AM163" s="148">
        <v>1425.6412692537599</v>
      </c>
      <c r="AN163" s="10"/>
    </row>
    <row r="164" spans="1:40" ht="14.4" x14ac:dyDescent="0.3">
      <c r="A164" s="147" t="s">
        <v>813</v>
      </c>
      <c r="B164" s="148">
        <v>8403.1094100800001</v>
      </c>
      <c r="C164" s="148">
        <v>13735.282847545001</v>
      </c>
      <c r="D164" s="148">
        <v>10122.664064333399</v>
      </c>
      <c r="E164" s="148">
        <v>12155.7034023134</v>
      </c>
      <c r="F164" s="148">
        <v>16955.087752773401</v>
      </c>
      <c r="G164" s="148">
        <v>14045.8268013468</v>
      </c>
      <c r="H164" s="148">
        <v>19511.3873714566</v>
      </c>
      <c r="I164" s="148">
        <v>24953.8501107089</v>
      </c>
      <c r="J164" s="148">
        <v>3191.8090281927298</v>
      </c>
      <c r="K164" s="148">
        <v>4945.9383387402404</v>
      </c>
      <c r="L164" s="148">
        <v>8627.8786684259394</v>
      </c>
      <c r="M164" s="148">
        <v>1.353782863589E-8</v>
      </c>
      <c r="N164" s="10"/>
      <c r="O164" s="148">
        <v>6627.0191928328904</v>
      </c>
      <c r="P164" s="148">
        <v>12262.1597181262</v>
      </c>
      <c r="Q164" s="148">
        <v>3673.1202750131101</v>
      </c>
      <c r="R164" s="148">
        <v>5427.5474092008499</v>
      </c>
      <c r="S164" s="148">
        <v>8684.1910524638606</v>
      </c>
      <c r="T164" s="148">
        <v>380.53874806058298</v>
      </c>
      <c r="U164" s="148">
        <v>5592.2186736560097</v>
      </c>
      <c r="V164" s="148">
        <v>11050.645996507799</v>
      </c>
      <c r="W164" s="148">
        <v>1359.1946317387999</v>
      </c>
      <c r="X164" s="148">
        <v>3232.08102196871</v>
      </c>
      <c r="Y164" s="148">
        <v>6792.16114822891</v>
      </c>
      <c r="Z164" s="148">
        <v>-8.3685381468967503E-7</v>
      </c>
      <c r="AA164" s="10"/>
      <c r="AB164" s="148">
        <v>7207.89900557906</v>
      </c>
      <c r="AC164" s="148">
        <v>13444.0270324669</v>
      </c>
      <c r="AD164" s="148">
        <v>13894.7612472446</v>
      </c>
      <c r="AE164" s="148">
        <v>15870.1591663738</v>
      </c>
      <c r="AF164" s="148">
        <v>19112.3788858878</v>
      </c>
      <c r="AG164" s="148">
        <v>19162.500361643699</v>
      </c>
      <c r="AH164" s="148">
        <v>24273.603367307202</v>
      </c>
      <c r="AI164" s="148">
        <v>30138.972803959001</v>
      </c>
      <c r="AJ164" s="148">
        <v>29929.989762880301</v>
      </c>
      <c r="AK164" s="148">
        <v>31600.4324292112</v>
      </c>
      <c r="AL164" s="148">
        <v>34878.1858652995</v>
      </c>
      <c r="AM164" s="148">
        <v>36303.827134553198</v>
      </c>
      <c r="AN164" s="10"/>
    </row>
    <row r="165" spans="1:40" ht="14.4" x14ac:dyDescent="0.3">
      <c r="A165" s="147" t="s">
        <v>814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4.4" x14ac:dyDescent="0.3">
      <c r="A166" s="147" t="s">
        <v>815</v>
      </c>
      <c r="B166" s="148">
        <v>0</v>
      </c>
      <c r="C166" s="148">
        <v>0</v>
      </c>
      <c r="D166" s="148">
        <v>0</v>
      </c>
      <c r="E166" s="148">
        <v>12</v>
      </c>
      <c r="F166" s="148">
        <v>0</v>
      </c>
      <c r="G166" s="148">
        <v>12</v>
      </c>
      <c r="H166" s="148">
        <v>0</v>
      </c>
      <c r="I166" s="148">
        <v>0</v>
      </c>
      <c r="J166" s="148">
        <v>12</v>
      </c>
      <c r="K166" s="148">
        <v>0</v>
      </c>
      <c r="L166" s="148">
        <v>0</v>
      </c>
      <c r="M166" s="148">
        <v>12</v>
      </c>
      <c r="N166" s="10"/>
      <c r="O166" s="148">
        <v>0</v>
      </c>
      <c r="P166" s="148">
        <v>0</v>
      </c>
      <c r="Q166" s="148">
        <v>0</v>
      </c>
      <c r="R166" s="148">
        <v>12</v>
      </c>
      <c r="S166" s="148">
        <v>0</v>
      </c>
      <c r="T166" s="148">
        <v>12</v>
      </c>
      <c r="U166" s="148">
        <v>0</v>
      </c>
      <c r="V166" s="148">
        <v>0</v>
      </c>
      <c r="W166" s="148">
        <v>12</v>
      </c>
      <c r="X166" s="148">
        <v>0</v>
      </c>
      <c r="Y166" s="148">
        <v>0</v>
      </c>
      <c r="Z166" s="148">
        <v>12</v>
      </c>
      <c r="AA166" s="10"/>
      <c r="AB166" s="148">
        <v>0</v>
      </c>
      <c r="AC166" s="148">
        <v>0</v>
      </c>
      <c r="AD166" s="148">
        <v>0</v>
      </c>
      <c r="AE166" s="148">
        <v>12</v>
      </c>
      <c r="AF166" s="148">
        <v>0</v>
      </c>
      <c r="AG166" s="148">
        <v>12</v>
      </c>
      <c r="AH166" s="148">
        <v>0</v>
      </c>
      <c r="AI166" s="148">
        <v>0</v>
      </c>
      <c r="AJ166" s="148">
        <v>12</v>
      </c>
      <c r="AK166" s="148">
        <v>0</v>
      </c>
      <c r="AL166" s="148">
        <v>0</v>
      </c>
      <c r="AM166" s="148">
        <v>12</v>
      </c>
      <c r="AN166" s="10"/>
    </row>
    <row r="167" spans="1:40" ht="14.4" x14ac:dyDescent="0.3">
      <c r="A167" s="147" t="s">
        <v>816</v>
      </c>
      <c r="B167" s="148">
        <v>42047.899449999997</v>
      </c>
      <c r="C167" s="148">
        <v>68684.958759999994</v>
      </c>
      <c r="D167" s="148">
        <v>92443.537750000003</v>
      </c>
      <c r="E167" s="148">
        <v>102546.38869000001</v>
      </c>
      <c r="F167" s="148">
        <v>126533.34624</v>
      </c>
      <c r="G167" s="148">
        <v>153935.03831</v>
      </c>
      <c r="H167" s="148">
        <v>181237.07156117601</v>
      </c>
      <c r="I167" s="148">
        <v>208427.10621156401</v>
      </c>
      <c r="J167" s="148">
        <v>228257.01989915699</v>
      </c>
      <c r="K167" s="148">
        <v>236948.56568886901</v>
      </c>
      <c r="L167" s="148">
        <v>255314.25260709299</v>
      </c>
      <c r="M167" s="148">
        <v>282984.25314502697</v>
      </c>
      <c r="N167" s="10"/>
      <c r="O167" s="148">
        <v>33095.008984124703</v>
      </c>
      <c r="P167" s="148">
        <v>61255.284073314397</v>
      </c>
      <c r="Q167" s="148">
        <v>81467.143076987195</v>
      </c>
      <c r="R167" s="148">
        <v>90171.941717025999</v>
      </c>
      <c r="S167" s="148">
        <v>106406.687670725</v>
      </c>
      <c r="T167" s="148">
        <v>128051.06564776201</v>
      </c>
      <c r="U167" s="148">
        <v>154082.27021465599</v>
      </c>
      <c r="V167" s="148">
        <v>181353.80084047999</v>
      </c>
      <c r="W167" s="148">
        <v>196033.882549606</v>
      </c>
      <c r="X167" s="148">
        <v>205328.666921686</v>
      </c>
      <c r="Y167" s="148">
        <v>223089.538752564</v>
      </c>
      <c r="Z167" s="148">
        <v>252285.03949734999</v>
      </c>
      <c r="AA167" s="10"/>
      <c r="AB167" s="148">
        <v>36005.865243503998</v>
      </c>
      <c r="AC167" s="148">
        <v>67177.852012365402</v>
      </c>
      <c r="AD167" s="148">
        <v>88625.169711291906</v>
      </c>
      <c r="AE167" s="148">
        <v>98436.791333493398</v>
      </c>
      <c r="AF167" s="148">
        <v>114600.79591752301</v>
      </c>
      <c r="AG167" s="148">
        <v>134040.85671155</v>
      </c>
      <c r="AH167" s="148">
        <v>159567.04531637899</v>
      </c>
      <c r="AI167" s="148">
        <v>188878.73403643799</v>
      </c>
      <c r="AJ167" s="148">
        <v>207013.297322486</v>
      </c>
      <c r="AK167" s="148">
        <v>215293.6381863</v>
      </c>
      <c r="AL167" s="148">
        <v>231638.59063786999</v>
      </c>
      <c r="AM167" s="148">
        <v>257949.437489495</v>
      </c>
      <c r="AN167" s="10"/>
    </row>
    <row r="168" spans="1:40" ht="14.4" x14ac:dyDescent="0.3">
      <c r="A168" s="147" t="s">
        <v>817</v>
      </c>
      <c r="B168" s="148">
        <v>0</v>
      </c>
      <c r="C168" s="148">
        <v>0</v>
      </c>
      <c r="D168" s="148">
        <v>0</v>
      </c>
      <c r="E168" s="148">
        <v>282984.25314496999</v>
      </c>
      <c r="F168" s="148">
        <v>0</v>
      </c>
      <c r="G168" s="148">
        <v>282984.25314496999</v>
      </c>
      <c r="H168" s="148">
        <v>0</v>
      </c>
      <c r="I168" s="148">
        <v>0</v>
      </c>
      <c r="J168" s="148">
        <v>282984.25314496999</v>
      </c>
      <c r="K168" s="148">
        <v>0</v>
      </c>
      <c r="L168" s="148">
        <v>0</v>
      </c>
      <c r="M168" s="148">
        <v>282984.25314502697</v>
      </c>
      <c r="N168" s="10"/>
      <c r="O168" s="148">
        <v>0</v>
      </c>
      <c r="P168" s="148">
        <v>0</v>
      </c>
      <c r="Q168" s="148">
        <v>0</v>
      </c>
      <c r="R168" s="148">
        <v>252285.03949905501</v>
      </c>
      <c r="S168" s="148">
        <v>0</v>
      </c>
      <c r="T168" s="148">
        <v>252285.03949905501</v>
      </c>
      <c r="U168" s="148">
        <v>0</v>
      </c>
      <c r="V168" s="148">
        <v>0</v>
      </c>
      <c r="W168" s="148">
        <v>252285.03949905501</v>
      </c>
      <c r="X168" s="148">
        <v>0</v>
      </c>
      <c r="Y168" s="148">
        <v>0</v>
      </c>
      <c r="Z168" s="148">
        <v>252285.03949734999</v>
      </c>
      <c r="AA168" s="10"/>
      <c r="AB168" s="148">
        <v>0</v>
      </c>
      <c r="AC168" s="148">
        <v>0</v>
      </c>
      <c r="AD168" s="148">
        <v>0</v>
      </c>
      <c r="AE168" s="148">
        <v>257949.437495766</v>
      </c>
      <c r="AF168" s="148">
        <v>0</v>
      </c>
      <c r="AG168" s="148">
        <v>257949.437495766</v>
      </c>
      <c r="AH168" s="148">
        <v>0</v>
      </c>
      <c r="AI168" s="148">
        <v>0</v>
      </c>
      <c r="AJ168" s="148">
        <v>257949.437495766</v>
      </c>
      <c r="AK168" s="148">
        <v>0</v>
      </c>
      <c r="AL168" s="148">
        <v>0</v>
      </c>
      <c r="AM168" s="148">
        <v>257949.437489495</v>
      </c>
      <c r="AN168" s="10"/>
    </row>
    <row r="169" spans="1:40" ht="14.4" x14ac:dyDescent="0.3">
      <c r="A169" s="147" t="s">
        <v>818</v>
      </c>
      <c r="B169" s="148">
        <v>8403.1094100800001</v>
      </c>
      <c r="C169" s="148">
        <v>13735.282847545001</v>
      </c>
      <c r="D169" s="148">
        <v>10122.664064333399</v>
      </c>
      <c r="E169" s="148">
        <v>12155.7034023134</v>
      </c>
      <c r="F169" s="148">
        <v>16955.087752773401</v>
      </c>
      <c r="G169" s="148">
        <v>14045.8268013468</v>
      </c>
      <c r="H169" s="148">
        <v>19511.3873714566</v>
      </c>
      <c r="I169" s="148">
        <v>24953.8501107089</v>
      </c>
      <c r="J169" s="148">
        <v>3191.8090281927298</v>
      </c>
      <c r="K169" s="148">
        <v>4945.9383387402404</v>
      </c>
      <c r="L169" s="148">
        <v>8627.8786684259394</v>
      </c>
      <c r="M169" s="148">
        <v>1.353782863589E-8</v>
      </c>
      <c r="N169" s="10"/>
      <c r="O169" s="148">
        <v>6627.0191928328904</v>
      </c>
      <c r="P169" s="148">
        <v>12262.1597181262</v>
      </c>
      <c r="Q169" s="148">
        <v>3673.1202750131101</v>
      </c>
      <c r="R169" s="148">
        <v>5427.5474092008499</v>
      </c>
      <c r="S169" s="148">
        <v>8684.1910524638606</v>
      </c>
      <c r="T169" s="148">
        <v>380.53874806058298</v>
      </c>
      <c r="U169" s="148">
        <v>5592.2186736560097</v>
      </c>
      <c r="V169" s="148">
        <v>11050.645996507799</v>
      </c>
      <c r="W169" s="148">
        <v>1359.1946317387999</v>
      </c>
      <c r="X169" s="148">
        <v>3232.08102196871</v>
      </c>
      <c r="Y169" s="148">
        <v>6792.16114822891</v>
      </c>
      <c r="Z169" s="148">
        <v>-8.3685381468967503E-7</v>
      </c>
      <c r="AA169" s="10"/>
      <c r="AB169" s="148">
        <v>7207.89900557906</v>
      </c>
      <c r="AC169" s="148">
        <v>13444.0270324669</v>
      </c>
      <c r="AD169" s="148">
        <v>13894.7612472446</v>
      </c>
      <c r="AE169" s="148">
        <v>15870.1591663738</v>
      </c>
      <c r="AF169" s="148">
        <v>19112.3788858878</v>
      </c>
      <c r="AG169" s="148">
        <v>19162.500361643699</v>
      </c>
      <c r="AH169" s="148">
        <v>24273.603367307202</v>
      </c>
      <c r="AI169" s="148">
        <v>30138.972803959001</v>
      </c>
      <c r="AJ169" s="148">
        <v>29929.989762880301</v>
      </c>
      <c r="AK169" s="148">
        <v>31600.4324292112</v>
      </c>
      <c r="AL169" s="148">
        <v>34878.1858652995</v>
      </c>
      <c r="AM169" s="148">
        <v>36303.827134553198</v>
      </c>
      <c r="AN169" s="10"/>
    </row>
    <row r="170" spans="1:40" ht="14.4" x14ac:dyDescent="0.3">
      <c r="A170" s="147" t="s">
        <v>819</v>
      </c>
      <c r="B170" s="148">
        <v>0</v>
      </c>
      <c r="C170" s="148">
        <v>0</v>
      </c>
      <c r="D170" s="148">
        <v>0</v>
      </c>
      <c r="E170" s="148">
        <v>-3.6488472687778902E-8</v>
      </c>
      <c r="F170" s="148">
        <v>0</v>
      </c>
      <c r="G170" s="148">
        <v>-3.6488472687778902E-8</v>
      </c>
      <c r="H170" s="148">
        <v>0</v>
      </c>
      <c r="I170" s="148">
        <v>0</v>
      </c>
      <c r="J170" s="148">
        <v>-3.6488472687778902E-8</v>
      </c>
      <c r="K170" s="148">
        <v>0</v>
      </c>
      <c r="L170" s="148">
        <v>0</v>
      </c>
      <c r="M170" s="148">
        <v>1.353782863589E-8</v>
      </c>
      <c r="N170" s="10"/>
      <c r="O170" s="148">
        <v>0</v>
      </c>
      <c r="P170" s="148">
        <v>0</v>
      </c>
      <c r="Q170" s="148">
        <v>0</v>
      </c>
      <c r="R170" s="148">
        <v>-1.16669116323464E-6</v>
      </c>
      <c r="S170" s="148">
        <v>0</v>
      </c>
      <c r="T170" s="148">
        <v>-1.16669116323464E-6</v>
      </c>
      <c r="U170" s="148">
        <v>0</v>
      </c>
      <c r="V170" s="148">
        <v>0</v>
      </c>
      <c r="W170" s="148">
        <v>-1.16669116323464E-6</v>
      </c>
      <c r="X170" s="148">
        <v>0</v>
      </c>
      <c r="Y170" s="148">
        <v>0</v>
      </c>
      <c r="Z170" s="148">
        <v>-8.3685381468967503E-7</v>
      </c>
      <c r="AA170" s="10"/>
      <c r="AB170" s="148">
        <v>0</v>
      </c>
      <c r="AC170" s="148">
        <v>0</v>
      </c>
      <c r="AD170" s="148">
        <v>0</v>
      </c>
      <c r="AE170" s="148">
        <v>36303.8271357501</v>
      </c>
      <c r="AF170" s="148">
        <v>0</v>
      </c>
      <c r="AG170" s="148">
        <v>36303.8271357501</v>
      </c>
      <c r="AH170" s="148">
        <v>0</v>
      </c>
      <c r="AI170" s="148">
        <v>0</v>
      </c>
      <c r="AJ170" s="148">
        <v>36303.8271357501</v>
      </c>
      <c r="AK170" s="148">
        <v>0</v>
      </c>
      <c r="AL170" s="148">
        <v>0</v>
      </c>
      <c r="AM170" s="148">
        <v>36303.827134553198</v>
      </c>
      <c r="AN170" s="10"/>
    </row>
    <row r="171" spans="1:40" ht="14.4" x14ac:dyDescent="0.3">
      <c r="A171" s="147" t="s">
        <v>820</v>
      </c>
      <c r="B171" s="148">
        <v>0</v>
      </c>
      <c r="C171" s="148">
        <v>0</v>
      </c>
      <c r="D171" s="148">
        <v>0</v>
      </c>
      <c r="E171" s="148">
        <v>68684.958759999994</v>
      </c>
      <c r="F171" s="148">
        <v>0</v>
      </c>
      <c r="G171" s="148">
        <v>0</v>
      </c>
      <c r="H171" s="148">
        <v>0</v>
      </c>
      <c r="I171" s="148">
        <v>0</v>
      </c>
      <c r="J171" s="148">
        <v>0</v>
      </c>
      <c r="K171" s="148">
        <v>0</v>
      </c>
      <c r="L171" s="148">
        <v>0</v>
      </c>
      <c r="M171" s="148">
        <v>0</v>
      </c>
      <c r="N171" s="10"/>
      <c r="O171" s="148">
        <v>0</v>
      </c>
      <c r="P171" s="148">
        <v>0</v>
      </c>
      <c r="Q171" s="148">
        <v>0</v>
      </c>
      <c r="R171" s="148">
        <v>61255.284073314397</v>
      </c>
      <c r="S171" s="148">
        <v>0</v>
      </c>
      <c r="T171" s="148">
        <v>0</v>
      </c>
      <c r="U171" s="148">
        <v>0</v>
      </c>
      <c r="V171" s="148">
        <v>0</v>
      </c>
      <c r="W171" s="148">
        <v>0</v>
      </c>
      <c r="X171" s="148">
        <v>0</v>
      </c>
      <c r="Y171" s="148">
        <v>0</v>
      </c>
      <c r="Z171" s="148">
        <v>0</v>
      </c>
      <c r="AA171" s="10"/>
      <c r="AB171" s="148">
        <v>0</v>
      </c>
      <c r="AC171" s="148">
        <v>0</v>
      </c>
      <c r="AD171" s="148">
        <v>0</v>
      </c>
      <c r="AE171" s="148">
        <v>67177.852012365402</v>
      </c>
      <c r="AF171" s="148">
        <v>0</v>
      </c>
      <c r="AG171" s="148">
        <v>0</v>
      </c>
      <c r="AH171" s="148">
        <v>0</v>
      </c>
      <c r="AI171" s="148">
        <v>0</v>
      </c>
      <c r="AJ171" s="148">
        <v>0</v>
      </c>
      <c r="AK171" s="148">
        <v>0</v>
      </c>
      <c r="AL171" s="148">
        <v>0</v>
      </c>
      <c r="AM171" s="148">
        <v>0</v>
      </c>
      <c r="AN171" s="10"/>
    </row>
    <row r="172" spans="1:40" ht="14.4" x14ac:dyDescent="0.3">
      <c r="A172" s="147" t="s">
        <v>821</v>
      </c>
      <c r="B172" s="148">
        <v>0</v>
      </c>
      <c r="C172" s="148">
        <v>0</v>
      </c>
      <c r="D172" s="148">
        <v>0</v>
      </c>
      <c r="E172" s="148">
        <v>412109.75255999999</v>
      </c>
      <c r="F172" s="148">
        <v>0</v>
      </c>
      <c r="G172" s="148">
        <v>0</v>
      </c>
      <c r="H172" s="148">
        <v>0</v>
      </c>
      <c r="I172" s="148">
        <v>0</v>
      </c>
      <c r="J172" s="148">
        <v>0</v>
      </c>
      <c r="K172" s="148">
        <v>0</v>
      </c>
      <c r="L172" s="148">
        <v>0</v>
      </c>
      <c r="M172" s="148">
        <v>0</v>
      </c>
      <c r="N172" s="10"/>
      <c r="O172" s="148">
        <v>0</v>
      </c>
      <c r="P172" s="148">
        <v>0</v>
      </c>
      <c r="Q172" s="148">
        <v>0</v>
      </c>
      <c r="R172" s="148">
        <v>367531.70443988597</v>
      </c>
      <c r="S172" s="148">
        <v>0</v>
      </c>
      <c r="T172" s="148">
        <v>0</v>
      </c>
      <c r="U172" s="148">
        <v>0</v>
      </c>
      <c r="V172" s="148">
        <v>0</v>
      </c>
      <c r="W172" s="148">
        <v>0</v>
      </c>
      <c r="X172" s="148">
        <v>0</v>
      </c>
      <c r="Y172" s="148">
        <v>0</v>
      </c>
      <c r="Z172" s="148">
        <v>0</v>
      </c>
      <c r="AA172" s="10"/>
      <c r="AB172" s="148">
        <v>0</v>
      </c>
      <c r="AC172" s="148">
        <v>0</v>
      </c>
      <c r="AD172" s="148">
        <v>0</v>
      </c>
      <c r="AE172" s="148">
        <v>403067.11207419197</v>
      </c>
      <c r="AF172" s="148">
        <v>0</v>
      </c>
      <c r="AG172" s="148">
        <v>0</v>
      </c>
      <c r="AH172" s="148">
        <v>0</v>
      </c>
      <c r="AI172" s="148">
        <v>0</v>
      </c>
      <c r="AJ172" s="148">
        <v>0</v>
      </c>
      <c r="AK172" s="148">
        <v>0</v>
      </c>
      <c r="AL172" s="148">
        <v>0</v>
      </c>
      <c r="AM172" s="148">
        <v>0</v>
      </c>
      <c r="AN172" s="10"/>
    </row>
    <row r="173" spans="1:40" ht="14.4" x14ac:dyDescent="0.3">
      <c r="A173" s="147" t="s">
        <v>822</v>
      </c>
      <c r="B173" s="148">
        <v>0</v>
      </c>
      <c r="C173" s="148">
        <v>0</v>
      </c>
      <c r="D173" s="148">
        <v>0</v>
      </c>
      <c r="E173" s="148">
        <v>27116.354877119698</v>
      </c>
      <c r="F173" s="148">
        <v>0</v>
      </c>
      <c r="G173" s="148">
        <v>0</v>
      </c>
      <c r="H173" s="148">
        <v>0</v>
      </c>
      <c r="I173" s="148">
        <v>0</v>
      </c>
      <c r="J173" s="148">
        <v>0</v>
      </c>
      <c r="K173" s="148">
        <v>0</v>
      </c>
      <c r="L173" s="148">
        <v>0</v>
      </c>
      <c r="M173" s="148">
        <v>0</v>
      </c>
      <c r="N173" s="10"/>
      <c r="O173" s="148">
        <v>0</v>
      </c>
      <c r="P173" s="148">
        <v>0</v>
      </c>
      <c r="Q173" s="148">
        <v>0</v>
      </c>
      <c r="R173" s="148">
        <v>24201.799636407701</v>
      </c>
      <c r="S173" s="148">
        <v>0</v>
      </c>
      <c r="T173" s="148">
        <v>0</v>
      </c>
      <c r="U173" s="148">
        <v>0</v>
      </c>
      <c r="V173" s="148">
        <v>0</v>
      </c>
      <c r="W173" s="148">
        <v>0</v>
      </c>
      <c r="X173" s="148">
        <v>0</v>
      </c>
      <c r="Y173" s="148">
        <v>0</v>
      </c>
      <c r="Z173" s="148">
        <v>0</v>
      </c>
      <c r="AA173" s="10"/>
      <c r="AB173" s="148">
        <v>0</v>
      </c>
      <c r="AC173" s="148">
        <v>0</v>
      </c>
      <c r="AD173" s="148">
        <v>0</v>
      </c>
      <c r="AE173" s="148">
        <v>66778.538797219706</v>
      </c>
      <c r="AF173" s="148">
        <v>0</v>
      </c>
      <c r="AG173" s="148">
        <v>0</v>
      </c>
      <c r="AH173" s="148">
        <v>0</v>
      </c>
      <c r="AI173" s="148">
        <v>0</v>
      </c>
      <c r="AJ173" s="148">
        <v>0</v>
      </c>
      <c r="AK173" s="148">
        <v>0</v>
      </c>
      <c r="AL173" s="148">
        <v>0</v>
      </c>
      <c r="AM173" s="148">
        <v>0</v>
      </c>
      <c r="AN173" s="10"/>
    </row>
    <row r="174" spans="1:40" ht="14.4" x14ac:dyDescent="0.3">
      <c r="A174" s="147" t="s">
        <v>823</v>
      </c>
      <c r="B174" s="148">
        <v>0</v>
      </c>
      <c r="C174" s="148">
        <v>0</v>
      </c>
      <c r="D174" s="148">
        <v>0</v>
      </c>
      <c r="E174" s="148">
        <v>0</v>
      </c>
      <c r="F174" s="148">
        <v>0</v>
      </c>
      <c r="G174" s="148">
        <v>102546.38869000001</v>
      </c>
      <c r="H174" s="148">
        <v>0</v>
      </c>
      <c r="I174" s="148">
        <v>0</v>
      </c>
      <c r="J174" s="148">
        <v>0</v>
      </c>
      <c r="K174" s="148">
        <v>0</v>
      </c>
      <c r="L174" s="148">
        <v>0</v>
      </c>
      <c r="M174" s="148">
        <v>0</v>
      </c>
      <c r="N174" s="10"/>
      <c r="O174" s="148">
        <v>0</v>
      </c>
      <c r="P174" s="148">
        <v>0</v>
      </c>
      <c r="Q174" s="148">
        <v>0</v>
      </c>
      <c r="R174" s="148">
        <v>0</v>
      </c>
      <c r="S174" s="148">
        <v>0</v>
      </c>
      <c r="T174" s="148">
        <v>90171.941717025999</v>
      </c>
      <c r="U174" s="148">
        <v>0</v>
      </c>
      <c r="V174" s="148">
        <v>0</v>
      </c>
      <c r="W174" s="148">
        <v>0</v>
      </c>
      <c r="X174" s="148">
        <v>0</v>
      </c>
      <c r="Y174" s="148">
        <v>0</v>
      </c>
      <c r="Z174" s="148">
        <v>0</v>
      </c>
      <c r="AA174" s="10"/>
      <c r="AB174" s="148">
        <v>0</v>
      </c>
      <c r="AC174" s="148">
        <v>0</v>
      </c>
      <c r="AD174" s="148">
        <v>0</v>
      </c>
      <c r="AE174" s="148">
        <v>0</v>
      </c>
      <c r="AF174" s="148">
        <v>0</v>
      </c>
      <c r="AG174" s="148">
        <v>98436.791333493398</v>
      </c>
      <c r="AH174" s="148">
        <v>0</v>
      </c>
      <c r="AI174" s="148">
        <v>0</v>
      </c>
      <c r="AJ174" s="148">
        <v>0</v>
      </c>
      <c r="AK174" s="148">
        <v>0</v>
      </c>
      <c r="AL174" s="148">
        <v>0</v>
      </c>
      <c r="AM174" s="148">
        <v>0</v>
      </c>
      <c r="AN174" s="10"/>
    </row>
    <row r="175" spans="1:40" ht="14.4" x14ac:dyDescent="0.3">
      <c r="A175" s="147" t="s">
        <v>824</v>
      </c>
      <c r="B175" s="148">
        <v>0</v>
      </c>
      <c r="C175" s="148">
        <v>0</v>
      </c>
      <c r="D175" s="148">
        <v>0</v>
      </c>
      <c r="E175" s="148">
        <v>0</v>
      </c>
      <c r="F175" s="148">
        <v>0</v>
      </c>
      <c r="G175" s="148">
        <v>307639.16606999998</v>
      </c>
      <c r="H175" s="148">
        <v>0</v>
      </c>
      <c r="I175" s="148">
        <v>0</v>
      </c>
      <c r="J175" s="148">
        <v>0</v>
      </c>
      <c r="K175" s="148">
        <v>0</v>
      </c>
      <c r="L175" s="148">
        <v>0</v>
      </c>
      <c r="M175" s="148">
        <v>0</v>
      </c>
      <c r="N175" s="10"/>
      <c r="O175" s="148">
        <v>0</v>
      </c>
      <c r="P175" s="148">
        <v>0</v>
      </c>
      <c r="Q175" s="148">
        <v>0</v>
      </c>
      <c r="R175" s="148">
        <v>0</v>
      </c>
      <c r="S175" s="148">
        <v>0</v>
      </c>
      <c r="T175" s="148">
        <v>270515.825151078</v>
      </c>
      <c r="U175" s="148">
        <v>0</v>
      </c>
      <c r="V175" s="148">
        <v>0</v>
      </c>
      <c r="W175" s="148">
        <v>0</v>
      </c>
      <c r="X175" s="148">
        <v>0</v>
      </c>
      <c r="Y175" s="148">
        <v>0</v>
      </c>
      <c r="Z175" s="148">
        <v>0</v>
      </c>
      <c r="AA175" s="10"/>
      <c r="AB175" s="148">
        <v>0</v>
      </c>
      <c r="AC175" s="148">
        <v>0</v>
      </c>
      <c r="AD175" s="148">
        <v>0</v>
      </c>
      <c r="AE175" s="148">
        <v>0</v>
      </c>
      <c r="AF175" s="148">
        <v>0</v>
      </c>
      <c r="AG175" s="148">
        <v>295310.37400047999</v>
      </c>
      <c r="AH175" s="148">
        <v>0</v>
      </c>
      <c r="AI175" s="148">
        <v>0</v>
      </c>
      <c r="AJ175" s="148">
        <v>0</v>
      </c>
      <c r="AK175" s="148">
        <v>0</v>
      </c>
      <c r="AL175" s="148">
        <v>0</v>
      </c>
      <c r="AM175" s="148">
        <v>0</v>
      </c>
      <c r="AN175" s="10"/>
    </row>
    <row r="176" spans="1:40" ht="14.4" x14ac:dyDescent="0.3">
      <c r="A176" s="147" t="s">
        <v>825</v>
      </c>
      <c r="B176" s="148">
        <v>0</v>
      </c>
      <c r="C176" s="148">
        <v>0</v>
      </c>
      <c r="D176" s="148">
        <v>0</v>
      </c>
      <c r="E176" s="148">
        <v>0</v>
      </c>
      <c r="F176" s="148">
        <v>0</v>
      </c>
      <c r="G176" s="148">
        <v>5177.53171421968</v>
      </c>
      <c r="H176" s="148">
        <v>0</v>
      </c>
      <c r="I176" s="148">
        <v>0</v>
      </c>
      <c r="J176" s="148">
        <v>0</v>
      </c>
      <c r="K176" s="148">
        <v>0</v>
      </c>
      <c r="L176" s="148">
        <v>0</v>
      </c>
      <c r="M176" s="148">
        <v>0</v>
      </c>
      <c r="N176" s="10"/>
      <c r="O176" s="148">
        <v>0</v>
      </c>
      <c r="P176" s="148">
        <v>0</v>
      </c>
      <c r="Q176" s="148">
        <v>0</v>
      </c>
      <c r="R176" s="148">
        <v>0</v>
      </c>
      <c r="S176" s="148">
        <v>0</v>
      </c>
      <c r="T176" s="148">
        <v>3828.4649857579798</v>
      </c>
      <c r="U176" s="148">
        <v>0</v>
      </c>
      <c r="V176" s="148">
        <v>0</v>
      </c>
      <c r="W176" s="148">
        <v>0</v>
      </c>
      <c r="X176" s="148">
        <v>0</v>
      </c>
      <c r="Y176" s="148">
        <v>0</v>
      </c>
      <c r="Z176" s="148">
        <v>0</v>
      </c>
      <c r="AA176" s="10"/>
      <c r="AB176" s="148">
        <v>0</v>
      </c>
      <c r="AC176" s="148">
        <v>0</v>
      </c>
      <c r="AD176" s="148">
        <v>0</v>
      </c>
      <c r="AE176" s="148">
        <v>0</v>
      </c>
      <c r="AF176" s="148">
        <v>0</v>
      </c>
      <c r="AG176" s="148">
        <v>44149.623801740097</v>
      </c>
      <c r="AH176" s="148">
        <v>0</v>
      </c>
      <c r="AI176" s="148">
        <v>0</v>
      </c>
      <c r="AJ176" s="148">
        <v>0</v>
      </c>
      <c r="AK176" s="148">
        <v>0</v>
      </c>
      <c r="AL176" s="148">
        <v>0</v>
      </c>
      <c r="AM176" s="148">
        <v>0</v>
      </c>
      <c r="AN176" s="10"/>
    </row>
    <row r="177" spans="1:40" ht="14.4" x14ac:dyDescent="0.3">
      <c r="A177" s="147" t="s">
        <v>826</v>
      </c>
      <c r="B177" s="148">
        <v>0</v>
      </c>
      <c r="C177" s="148">
        <v>0</v>
      </c>
      <c r="D177" s="148">
        <v>0</v>
      </c>
      <c r="E177" s="148">
        <v>0</v>
      </c>
      <c r="F177" s="148">
        <v>0</v>
      </c>
      <c r="G177" s="148">
        <v>0</v>
      </c>
      <c r="H177" s="148">
        <v>0</v>
      </c>
      <c r="I177" s="148">
        <v>0</v>
      </c>
      <c r="J177" s="148">
        <v>1</v>
      </c>
      <c r="K177" s="148">
        <v>0</v>
      </c>
      <c r="L177" s="148">
        <v>0</v>
      </c>
      <c r="M177" s="148">
        <v>0</v>
      </c>
      <c r="N177" s="10"/>
      <c r="O177" s="148">
        <v>0</v>
      </c>
      <c r="P177" s="148">
        <v>0</v>
      </c>
      <c r="Q177" s="148">
        <v>0</v>
      </c>
      <c r="R177" s="148">
        <v>0</v>
      </c>
      <c r="S177" s="148">
        <v>0</v>
      </c>
      <c r="T177" s="148">
        <v>0</v>
      </c>
      <c r="U177" s="148">
        <v>0</v>
      </c>
      <c r="V177" s="148">
        <v>0</v>
      </c>
      <c r="W177" s="148">
        <v>1</v>
      </c>
      <c r="X177" s="148">
        <v>0</v>
      </c>
      <c r="Y177" s="148">
        <v>0</v>
      </c>
      <c r="Z177" s="148">
        <v>0</v>
      </c>
      <c r="AA177" s="10"/>
      <c r="AB177" s="148">
        <v>0</v>
      </c>
      <c r="AC177" s="148">
        <v>0</v>
      </c>
      <c r="AD177" s="148">
        <v>0</v>
      </c>
      <c r="AE177" s="148">
        <v>0</v>
      </c>
      <c r="AF177" s="148">
        <v>0</v>
      </c>
      <c r="AG177" s="148">
        <v>0</v>
      </c>
      <c r="AH177" s="148">
        <v>0</v>
      </c>
      <c r="AI177" s="148">
        <v>0</v>
      </c>
      <c r="AJ177" s="148">
        <v>1</v>
      </c>
      <c r="AK177" s="148">
        <v>0</v>
      </c>
      <c r="AL177" s="148">
        <v>0</v>
      </c>
      <c r="AM177" s="148">
        <v>0</v>
      </c>
      <c r="AN177" s="10"/>
    </row>
    <row r="178" spans="1:40" ht="14.4" x14ac:dyDescent="0.3">
      <c r="A178" s="147" t="s">
        <v>827</v>
      </c>
      <c r="B178" s="148">
        <v>0</v>
      </c>
      <c r="C178" s="148">
        <v>0</v>
      </c>
      <c r="D178" s="148">
        <v>0</v>
      </c>
      <c r="E178" s="148">
        <v>0</v>
      </c>
      <c r="F178" s="148">
        <v>0</v>
      </c>
      <c r="G178" s="148">
        <v>0</v>
      </c>
      <c r="H178" s="148">
        <v>0</v>
      </c>
      <c r="I178" s="148">
        <v>0</v>
      </c>
      <c r="J178" s="148">
        <v>181237.07156117601</v>
      </c>
      <c r="K178" s="148">
        <v>0</v>
      </c>
      <c r="L178" s="148">
        <v>0</v>
      </c>
      <c r="M178" s="148">
        <v>0</v>
      </c>
      <c r="N178" s="10"/>
      <c r="O178" s="148">
        <v>0</v>
      </c>
      <c r="P178" s="148">
        <v>0</v>
      </c>
      <c r="Q178" s="148">
        <v>0</v>
      </c>
      <c r="R178" s="148">
        <v>0</v>
      </c>
      <c r="S178" s="148">
        <v>0</v>
      </c>
      <c r="T178" s="148">
        <v>0</v>
      </c>
      <c r="U178" s="148">
        <v>0</v>
      </c>
      <c r="V178" s="148">
        <v>0</v>
      </c>
      <c r="W178" s="148">
        <v>154082.27021465599</v>
      </c>
      <c r="X178" s="148">
        <v>0</v>
      </c>
      <c r="Y178" s="148">
        <v>0</v>
      </c>
      <c r="Z178" s="148">
        <v>0</v>
      </c>
      <c r="AA178" s="10"/>
      <c r="AB178" s="148">
        <v>0</v>
      </c>
      <c r="AC178" s="148">
        <v>0</v>
      </c>
      <c r="AD178" s="148">
        <v>0</v>
      </c>
      <c r="AE178" s="148">
        <v>0</v>
      </c>
      <c r="AF178" s="148">
        <v>0</v>
      </c>
      <c r="AG178" s="148">
        <v>0</v>
      </c>
      <c r="AH178" s="148">
        <v>0</v>
      </c>
      <c r="AI178" s="148">
        <v>0</v>
      </c>
      <c r="AJ178" s="148">
        <v>159567.04531637899</v>
      </c>
      <c r="AK178" s="148">
        <v>0</v>
      </c>
      <c r="AL178" s="148">
        <v>0</v>
      </c>
      <c r="AM178" s="148">
        <v>0</v>
      </c>
      <c r="AN178" s="10"/>
    </row>
    <row r="179" spans="1:40" ht="14.4" x14ac:dyDescent="0.3">
      <c r="A179" s="147" t="s">
        <v>828</v>
      </c>
      <c r="B179" s="148">
        <v>0</v>
      </c>
      <c r="C179" s="148">
        <v>0</v>
      </c>
      <c r="D179" s="148">
        <v>0</v>
      </c>
      <c r="E179" s="148">
        <v>0</v>
      </c>
      <c r="F179" s="148">
        <v>0</v>
      </c>
      <c r="G179" s="148">
        <v>0</v>
      </c>
      <c r="H179" s="148">
        <v>0</v>
      </c>
      <c r="I179" s="148">
        <v>0</v>
      </c>
      <c r="J179" s="148">
        <v>310692.12267630303</v>
      </c>
      <c r="K179" s="148">
        <v>0</v>
      </c>
      <c r="L179" s="148">
        <v>0</v>
      </c>
      <c r="M179" s="148">
        <v>0</v>
      </c>
      <c r="N179" s="10"/>
      <c r="O179" s="148">
        <v>0</v>
      </c>
      <c r="P179" s="148">
        <v>0</v>
      </c>
      <c r="Q179" s="148">
        <v>0</v>
      </c>
      <c r="R179" s="148">
        <v>0</v>
      </c>
      <c r="S179" s="148">
        <v>0</v>
      </c>
      <c r="T179" s="148">
        <v>0</v>
      </c>
      <c r="U179" s="148">
        <v>0</v>
      </c>
      <c r="V179" s="148">
        <v>0</v>
      </c>
      <c r="W179" s="148">
        <v>264141.034653696</v>
      </c>
      <c r="X179" s="148">
        <v>0</v>
      </c>
      <c r="Y179" s="148">
        <v>0</v>
      </c>
      <c r="Z179" s="148">
        <v>0</v>
      </c>
      <c r="AA179" s="10"/>
      <c r="AB179" s="148">
        <v>0</v>
      </c>
      <c r="AC179" s="148">
        <v>0</v>
      </c>
      <c r="AD179" s="148">
        <v>0</v>
      </c>
      <c r="AE179" s="148">
        <v>0</v>
      </c>
      <c r="AF179" s="148">
        <v>0</v>
      </c>
      <c r="AG179" s="148">
        <v>0</v>
      </c>
      <c r="AH179" s="148">
        <v>0</v>
      </c>
      <c r="AI179" s="148">
        <v>0</v>
      </c>
      <c r="AJ179" s="148">
        <v>273543.50625665102</v>
      </c>
      <c r="AK179" s="148">
        <v>0</v>
      </c>
      <c r="AL179" s="148">
        <v>0</v>
      </c>
      <c r="AM179" s="148">
        <v>0</v>
      </c>
      <c r="AN179" s="10"/>
    </row>
    <row r="180" spans="1:40" ht="14.4" x14ac:dyDescent="0.3">
      <c r="A180" s="147" t="s">
        <v>829</v>
      </c>
      <c r="B180" s="148">
        <v>0</v>
      </c>
      <c r="C180" s="148">
        <v>0</v>
      </c>
      <c r="D180" s="148">
        <v>0</v>
      </c>
      <c r="E180" s="148">
        <v>0</v>
      </c>
      <c r="F180" s="148">
        <v>0</v>
      </c>
      <c r="G180" s="148">
        <v>0</v>
      </c>
      <c r="H180" s="148">
        <v>0</v>
      </c>
      <c r="I180" s="148">
        <v>0</v>
      </c>
      <c r="J180" s="148">
        <v>5818.6526015433501</v>
      </c>
      <c r="K180" s="148">
        <v>0</v>
      </c>
      <c r="L180" s="148">
        <v>0</v>
      </c>
      <c r="M180" s="148">
        <v>0</v>
      </c>
      <c r="N180" s="10"/>
      <c r="O180" s="148">
        <v>0</v>
      </c>
      <c r="P180" s="148">
        <v>0</v>
      </c>
      <c r="Q180" s="148">
        <v>0</v>
      </c>
      <c r="R180" s="148">
        <v>0</v>
      </c>
      <c r="S180" s="148">
        <v>0</v>
      </c>
      <c r="T180" s="148">
        <v>0</v>
      </c>
      <c r="U180" s="148">
        <v>0</v>
      </c>
      <c r="V180" s="148">
        <v>0</v>
      </c>
      <c r="W180" s="148">
        <v>2489.7589813079098</v>
      </c>
      <c r="X180" s="148">
        <v>0</v>
      </c>
      <c r="Y180" s="148">
        <v>0</v>
      </c>
      <c r="Z180" s="148">
        <v>0</v>
      </c>
      <c r="AA180" s="10"/>
      <c r="AB180" s="148">
        <v>0</v>
      </c>
      <c r="AC180" s="148">
        <v>0</v>
      </c>
      <c r="AD180" s="148">
        <v>0</v>
      </c>
      <c r="AE180" s="148">
        <v>0</v>
      </c>
      <c r="AF180" s="148">
        <v>0</v>
      </c>
      <c r="AG180" s="148">
        <v>0</v>
      </c>
      <c r="AH180" s="148">
        <v>0</v>
      </c>
      <c r="AI180" s="148">
        <v>0</v>
      </c>
      <c r="AJ180" s="148">
        <v>39578.581575536002</v>
      </c>
      <c r="AK180" s="148">
        <v>0</v>
      </c>
      <c r="AL180" s="148">
        <v>0</v>
      </c>
      <c r="AM180" s="148">
        <v>0</v>
      </c>
      <c r="AN180" s="10"/>
    </row>
    <row r="181" spans="1:40" ht="14.4" x14ac:dyDescent="0.3">
      <c r="A181" s="147" t="s">
        <v>830</v>
      </c>
      <c r="B181" s="148">
        <v>0</v>
      </c>
      <c r="C181" s="148">
        <v>0</v>
      </c>
      <c r="D181" s="148">
        <v>0</v>
      </c>
      <c r="E181" s="148">
        <v>0</v>
      </c>
      <c r="F181" s="148">
        <v>0</v>
      </c>
      <c r="G181" s="148">
        <v>0</v>
      </c>
      <c r="H181" s="148">
        <v>0</v>
      </c>
      <c r="I181" s="148">
        <v>0</v>
      </c>
      <c r="J181" s="148">
        <v>0</v>
      </c>
      <c r="K181" s="148">
        <v>0</v>
      </c>
      <c r="L181" s="148">
        <v>0</v>
      </c>
      <c r="M181" s="148">
        <v>1</v>
      </c>
      <c r="N181" s="10"/>
      <c r="O181" s="148">
        <v>0</v>
      </c>
      <c r="P181" s="148">
        <v>0</v>
      </c>
      <c r="Q181" s="148">
        <v>0</v>
      </c>
      <c r="R181" s="148">
        <v>0</v>
      </c>
      <c r="S181" s="148">
        <v>0</v>
      </c>
      <c r="T181" s="148">
        <v>0</v>
      </c>
      <c r="U181" s="148">
        <v>0</v>
      </c>
      <c r="V181" s="148">
        <v>0</v>
      </c>
      <c r="W181" s="148">
        <v>0</v>
      </c>
      <c r="X181" s="148">
        <v>0</v>
      </c>
      <c r="Y181" s="148">
        <v>0</v>
      </c>
      <c r="Z181" s="148">
        <v>1</v>
      </c>
      <c r="AA181" s="10"/>
      <c r="AB181" s="148">
        <v>0</v>
      </c>
      <c r="AC181" s="148">
        <v>0</v>
      </c>
      <c r="AD181" s="148">
        <v>0</v>
      </c>
      <c r="AE181" s="148">
        <v>0</v>
      </c>
      <c r="AF181" s="148">
        <v>0</v>
      </c>
      <c r="AG181" s="148">
        <v>0</v>
      </c>
      <c r="AH181" s="148">
        <v>0</v>
      </c>
      <c r="AI181" s="148">
        <v>0</v>
      </c>
      <c r="AJ181" s="148">
        <v>0</v>
      </c>
      <c r="AK181" s="148">
        <v>0</v>
      </c>
      <c r="AL181" s="148">
        <v>0</v>
      </c>
      <c r="AM181" s="148">
        <v>1</v>
      </c>
      <c r="AN181" s="10"/>
    </row>
    <row r="182" spans="1:40" ht="14.4" x14ac:dyDescent="0.3">
      <c r="A182" s="147" t="s">
        <v>831</v>
      </c>
      <c r="B182" s="148">
        <v>0</v>
      </c>
      <c r="C182" s="148">
        <v>0</v>
      </c>
      <c r="D182" s="148">
        <v>0</v>
      </c>
      <c r="E182" s="148">
        <v>0</v>
      </c>
      <c r="F182" s="148">
        <v>0</v>
      </c>
      <c r="G182" s="148">
        <v>0</v>
      </c>
      <c r="H182" s="148">
        <v>0</v>
      </c>
      <c r="I182" s="148">
        <v>0</v>
      </c>
      <c r="J182" s="148">
        <v>0</v>
      </c>
      <c r="K182" s="148">
        <v>0</v>
      </c>
      <c r="L182" s="148">
        <v>0</v>
      </c>
      <c r="M182" s="148">
        <v>1.353782863589E-8</v>
      </c>
      <c r="N182" s="10"/>
      <c r="O182" s="148">
        <v>0</v>
      </c>
      <c r="P182" s="148">
        <v>0</v>
      </c>
      <c r="Q182" s="148">
        <v>0</v>
      </c>
      <c r="R182" s="148">
        <v>0</v>
      </c>
      <c r="S182" s="148">
        <v>0</v>
      </c>
      <c r="T182" s="148">
        <v>0</v>
      </c>
      <c r="U182" s="148">
        <v>0</v>
      </c>
      <c r="V182" s="148">
        <v>0</v>
      </c>
      <c r="W182" s="148">
        <v>0</v>
      </c>
      <c r="X182" s="148">
        <v>0</v>
      </c>
      <c r="Y182" s="148">
        <v>0</v>
      </c>
      <c r="Z182" s="148">
        <v>-8.3685381468967503E-7</v>
      </c>
      <c r="AA182" s="10"/>
      <c r="AB182" s="148">
        <v>0</v>
      </c>
      <c r="AC182" s="148">
        <v>0</v>
      </c>
      <c r="AD182" s="148">
        <v>0</v>
      </c>
      <c r="AE182" s="148">
        <v>0</v>
      </c>
      <c r="AF182" s="148">
        <v>0</v>
      </c>
      <c r="AG182" s="148">
        <v>0</v>
      </c>
      <c r="AH182" s="148">
        <v>0</v>
      </c>
      <c r="AI182" s="148">
        <v>0</v>
      </c>
      <c r="AJ182" s="148">
        <v>0</v>
      </c>
      <c r="AK182" s="148">
        <v>0</v>
      </c>
      <c r="AL182" s="148">
        <v>0</v>
      </c>
      <c r="AM182" s="148">
        <v>36303.827134553198</v>
      </c>
      <c r="AN182" s="10"/>
    </row>
    <row r="183" spans="1:40" ht="14.4" x14ac:dyDescent="0.3">
      <c r="A183" s="147" t="s">
        <v>832</v>
      </c>
      <c r="B183" s="148">
        <v>0</v>
      </c>
      <c r="C183" s="148">
        <v>0</v>
      </c>
      <c r="D183" s="148">
        <v>0</v>
      </c>
      <c r="E183" s="148">
        <v>0</v>
      </c>
      <c r="F183" s="148">
        <v>0</v>
      </c>
      <c r="G183" s="148">
        <v>0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8">
        <v>1.353782863589E-8</v>
      </c>
      <c r="N183" s="10"/>
      <c r="O183" s="148">
        <v>0</v>
      </c>
      <c r="P183" s="148">
        <v>0</v>
      </c>
      <c r="Q183" s="148">
        <v>0</v>
      </c>
      <c r="R183" s="148">
        <v>0</v>
      </c>
      <c r="S183" s="148">
        <v>0</v>
      </c>
      <c r="T183" s="148">
        <v>0</v>
      </c>
      <c r="U183" s="148">
        <v>0</v>
      </c>
      <c r="V183" s="148">
        <v>0</v>
      </c>
      <c r="W183" s="148">
        <v>0</v>
      </c>
      <c r="X183" s="148">
        <v>0</v>
      </c>
      <c r="Y183" s="148">
        <v>0</v>
      </c>
      <c r="Z183" s="148">
        <v>-8.3685381468967503E-7</v>
      </c>
      <c r="AA183" s="10"/>
      <c r="AB183" s="148">
        <v>0</v>
      </c>
      <c r="AC183" s="148">
        <v>0</v>
      </c>
      <c r="AD183" s="148">
        <v>0</v>
      </c>
      <c r="AE183" s="148">
        <v>0</v>
      </c>
      <c r="AF183" s="148">
        <v>0</v>
      </c>
      <c r="AG183" s="148">
        <v>0</v>
      </c>
      <c r="AH183" s="148">
        <v>0</v>
      </c>
      <c r="AI183" s="148">
        <v>0</v>
      </c>
      <c r="AJ183" s="148">
        <v>0</v>
      </c>
      <c r="AK183" s="148">
        <v>0</v>
      </c>
      <c r="AL183" s="148">
        <v>0</v>
      </c>
      <c r="AM183" s="148">
        <v>36303.827134553198</v>
      </c>
      <c r="AN183" s="10"/>
    </row>
    <row r="184" spans="1:40" ht="14.4" x14ac:dyDescent="0.3">
      <c r="A184" s="147" t="s">
        <v>833</v>
      </c>
      <c r="B184" s="148">
        <v>0</v>
      </c>
      <c r="C184" s="148">
        <v>0</v>
      </c>
      <c r="D184" s="148">
        <v>0</v>
      </c>
      <c r="E184" s="148">
        <v>0</v>
      </c>
      <c r="F184" s="148">
        <v>0</v>
      </c>
      <c r="G184" s="148">
        <v>0</v>
      </c>
      <c r="H184" s="148">
        <v>0</v>
      </c>
      <c r="I184" s="148">
        <v>0</v>
      </c>
      <c r="J184" s="148">
        <v>0</v>
      </c>
      <c r="K184" s="148">
        <v>0</v>
      </c>
      <c r="L184" s="148">
        <v>0</v>
      </c>
      <c r="M184" s="148">
        <v>0</v>
      </c>
      <c r="N184" s="10"/>
      <c r="O184" s="148">
        <v>0</v>
      </c>
      <c r="P184" s="148">
        <v>0</v>
      </c>
      <c r="Q184" s="148">
        <v>0</v>
      </c>
      <c r="R184" s="148">
        <v>0</v>
      </c>
      <c r="S184" s="148">
        <v>0</v>
      </c>
      <c r="T184" s="148">
        <v>0</v>
      </c>
      <c r="U184" s="148">
        <v>0</v>
      </c>
      <c r="V184" s="148">
        <v>0</v>
      </c>
      <c r="W184" s="148">
        <v>0</v>
      </c>
      <c r="X184" s="148">
        <v>0</v>
      </c>
      <c r="Y184" s="148">
        <v>0</v>
      </c>
      <c r="Z184" s="148">
        <v>0</v>
      </c>
      <c r="AA184" s="10"/>
      <c r="AB184" s="148">
        <v>0</v>
      </c>
      <c r="AC184" s="148">
        <v>0</v>
      </c>
      <c r="AD184" s="148">
        <v>0</v>
      </c>
      <c r="AE184" s="148">
        <v>0</v>
      </c>
      <c r="AF184" s="148">
        <v>0</v>
      </c>
      <c r="AG184" s="148">
        <v>0</v>
      </c>
      <c r="AH184" s="148">
        <v>0</v>
      </c>
      <c r="AI184" s="148">
        <v>0</v>
      </c>
      <c r="AJ184" s="148">
        <v>0</v>
      </c>
      <c r="AK184" s="148">
        <v>0</v>
      </c>
      <c r="AL184" s="148">
        <v>0</v>
      </c>
      <c r="AM184" s="148">
        <v>0</v>
      </c>
      <c r="AN184" s="10"/>
    </row>
    <row r="185" spans="1:40" ht="14.4" x14ac:dyDescent="0.3">
      <c r="A185" s="147" t="s">
        <v>834</v>
      </c>
      <c r="B185" s="148">
        <v>0</v>
      </c>
      <c r="C185" s="148">
        <v>0</v>
      </c>
      <c r="D185" s="148">
        <v>0</v>
      </c>
      <c r="E185" s="148">
        <v>27116.354877119698</v>
      </c>
      <c r="F185" s="148">
        <v>0</v>
      </c>
      <c r="G185" s="148">
        <v>5177.53171421968</v>
      </c>
      <c r="H185" s="148">
        <v>0</v>
      </c>
      <c r="I185" s="148">
        <v>0</v>
      </c>
      <c r="J185" s="148">
        <v>5818.6526015433501</v>
      </c>
      <c r="K185" s="148">
        <v>0</v>
      </c>
      <c r="L185" s="148">
        <v>0</v>
      </c>
      <c r="M185" s="148">
        <v>1.353782863589E-8</v>
      </c>
      <c r="N185" s="10"/>
      <c r="O185" s="148">
        <v>0</v>
      </c>
      <c r="P185" s="148">
        <v>0</v>
      </c>
      <c r="Q185" s="148">
        <v>0</v>
      </c>
      <c r="R185" s="148">
        <v>24201.799636407701</v>
      </c>
      <c r="S185" s="148">
        <v>0</v>
      </c>
      <c r="T185" s="148">
        <v>3828.4649857579798</v>
      </c>
      <c r="U185" s="148">
        <v>0</v>
      </c>
      <c r="V185" s="148">
        <v>0</v>
      </c>
      <c r="W185" s="148">
        <v>2489.7589813079098</v>
      </c>
      <c r="X185" s="148">
        <v>0</v>
      </c>
      <c r="Y185" s="148">
        <v>0</v>
      </c>
      <c r="Z185" s="148">
        <v>-8.3685381468967503E-7</v>
      </c>
      <c r="AA185" s="10"/>
      <c r="AB185" s="148">
        <v>0</v>
      </c>
      <c r="AC185" s="148">
        <v>0</v>
      </c>
      <c r="AD185" s="148">
        <v>0</v>
      </c>
      <c r="AE185" s="148">
        <v>66778.538797219706</v>
      </c>
      <c r="AF185" s="148">
        <v>0</v>
      </c>
      <c r="AG185" s="148">
        <v>44149.623801740097</v>
      </c>
      <c r="AH185" s="148">
        <v>0</v>
      </c>
      <c r="AI185" s="148">
        <v>0</v>
      </c>
      <c r="AJ185" s="148">
        <v>39578.581575536002</v>
      </c>
      <c r="AK185" s="148">
        <v>0</v>
      </c>
      <c r="AL185" s="148">
        <v>0</v>
      </c>
      <c r="AM185" s="148">
        <v>36303.827134553198</v>
      </c>
      <c r="AN185" s="10"/>
    </row>
    <row r="186" spans="1:40" ht="10.199999999999999" x14ac:dyDescent="0.2">
      <c r="A186" s="151" t="s">
        <v>835</v>
      </c>
      <c r="B186" s="152">
        <v>0</v>
      </c>
      <c r="C186" s="152">
        <v>0</v>
      </c>
      <c r="D186" s="152">
        <v>0</v>
      </c>
      <c r="E186" s="152">
        <v>0.25</v>
      </c>
      <c r="F186" s="152">
        <v>0</v>
      </c>
      <c r="G186" s="152">
        <v>0.5</v>
      </c>
      <c r="H186" s="152">
        <v>0</v>
      </c>
      <c r="I186" s="152">
        <v>0</v>
      </c>
      <c r="J186" s="152">
        <v>0.75</v>
      </c>
      <c r="K186" s="152">
        <v>0</v>
      </c>
      <c r="L186" s="152">
        <v>0</v>
      </c>
      <c r="M186" s="152">
        <v>1</v>
      </c>
      <c r="N186" s="152"/>
      <c r="O186" s="152">
        <v>0</v>
      </c>
      <c r="P186" s="152">
        <v>0</v>
      </c>
      <c r="Q186" s="152">
        <v>0</v>
      </c>
      <c r="R186" s="152">
        <v>0.25</v>
      </c>
      <c r="S186" s="152">
        <v>0</v>
      </c>
      <c r="T186" s="152">
        <v>0.5</v>
      </c>
      <c r="U186" s="152">
        <v>0</v>
      </c>
      <c r="V186" s="152">
        <v>0</v>
      </c>
      <c r="W186" s="152">
        <v>0.75</v>
      </c>
      <c r="X186" s="152">
        <v>0</v>
      </c>
      <c r="Y186" s="152">
        <v>0</v>
      </c>
      <c r="Z186" s="152">
        <v>1</v>
      </c>
      <c r="AA186" s="152"/>
      <c r="AB186" s="152">
        <v>0</v>
      </c>
      <c r="AC186" s="152">
        <v>0</v>
      </c>
      <c r="AD186" s="152">
        <v>0</v>
      </c>
      <c r="AE186" s="152">
        <v>0.25</v>
      </c>
      <c r="AF186" s="152">
        <v>0</v>
      </c>
      <c r="AG186" s="152">
        <v>0.5</v>
      </c>
      <c r="AH186" s="152">
        <v>0</v>
      </c>
      <c r="AI186" s="152">
        <v>0</v>
      </c>
      <c r="AJ186" s="152">
        <v>0.75</v>
      </c>
      <c r="AK186" s="152">
        <v>0</v>
      </c>
      <c r="AL186" s="152">
        <v>0</v>
      </c>
      <c r="AM186" s="152">
        <v>1</v>
      </c>
      <c r="AN186" s="152"/>
    </row>
    <row r="187" spans="1:40" ht="14.4" x14ac:dyDescent="0.3">
      <c r="A187" s="147" t="s">
        <v>836</v>
      </c>
      <c r="B187" s="148">
        <v>0</v>
      </c>
      <c r="C187" s="148">
        <v>0</v>
      </c>
      <c r="D187" s="148">
        <v>0</v>
      </c>
      <c r="E187" s="148">
        <v>6779.08871927992</v>
      </c>
      <c r="F187" s="148">
        <v>0</v>
      </c>
      <c r="G187" s="148">
        <v>2588.76585710984</v>
      </c>
      <c r="H187" s="148">
        <v>0</v>
      </c>
      <c r="I187" s="148">
        <v>0</v>
      </c>
      <c r="J187" s="148">
        <v>4363.9894511575103</v>
      </c>
      <c r="K187" s="148">
        <v>0</v>
      </c>
      <c r="L187" s="148">
        <v>0</v>
      </c>
      <c r="M187" s="148">
        <v>1.353782863589E-8</v>
      </c>
      <c r="N187" s="10"/>
      <c r="O187" s="148">
        <v>0</v>
      </c>
      <c r="P187" s="148">
        <v>0</v>
      </c>
      <c r="Q187" s="148">
        <v>0</v>
      </c>
      <c r="R187" s="148">
        <v>6050.4499091019197</v>
      </c>
      <c r="S187" s="148">
        <v>0</v>
      </c>
      <c r="T187" s="148">
        <v>1914.2324928789899</v>
      </c>
      <c r="U187" s="148">
        <v>0</v>
      </c>
      <c r="V187" s="148">
        <v>0</v>
      </c>
      <c r="W187" s="148">
        <v>1867.31923598093</v>
      </c>
      <c r="X187" s="148">
        <v>0</v>
      </c>
      <c r="Y187" s="148">
        <v>0</v>
      </c>
      <c r="Z187" s="148">
        <v>-8.3685381468967503E-7</v>
      </c>
      <c r="AA187" s="10"/>
      <c r="AB187" s="148">
        <v>0</v>
      </c>
      <c r="AC187" s="148">
        <v>0</v>
      </c>
      <c r="AD187" s="148">
        <v>0</v>
      </c>
      <c r="AE187" s="148">
        <v>16694.634699304901</v>
      </c>
      <c r="AF187" s="148">
        <v>0</v>
      </c>
      <c r="AG187" s="148">
        <v>22074.811900870001</v>
      </c>
      <c r="AH187" s="148">
        <v>0</v>
      </c>
      <c r="AI187" s="148">
        <v>0</v>
      </c>
      <c r="AJ187" s="148">
        <v>29683.936181652</v>
      </c>
      <c r="AK187" s="148">
        <v>0</v>
      </c>
      <c r="AL187" s="148">
        <v>0</v>
      </c>
      <c r="AM187" s="148">
        <v>36303.827134553198</v>
      </c>
      <c r="AN187" s="10"/>
    </row>
    <row r="188" spans="1:40" ht="14.4" x14ac:dyDescent="0.3">
      <c r="A188" s="147" t="s">
        <v>837</v>
      </c>
      <c r="B188" s="148">
        <v>0</v>
      </c>
      <c r="C188" s="148">
        <v>0</v>
      </c>
      <c r="D188" s="148">
        <v>0</v>
      </c>
      <c r="E188" s="148">
        <v>0</v>
      </c>
      <c r="F188" s="148">
        <v>0</v>
      </c>
      <c r="G188" s="148">
        <v>-8159.6989999999996</v>
      </c>
      <c r="H188" s="148">
        <v>0</v>
      </c>
      <c r="I188" s="148">
        <v>0</v>
      </c>
      <c r="J188" s="148">
        <v>-7027.6179999999904</v>
      </c>
      <c r="K188" s="148">
        <v>0</v>
      </c>
      <c r="L188" s="148">
        <v>0</v>
      </c>
      <c r="M188" s="148">
        <v>-7027.6179999999904</v>
      </c>
      <c r="N188" s="10"/>
      <c r="O188" s="148">
        <v>0</v>
      </c>
      <c r="P188" s="148">
        <v>0</v>
      </c>
      <c r="Q188" s="148">
        <v>0</v>
      </c>
      <c r="R188" s="148">
        <v>0</v>
      </c>
      <c r="S188" s="148">
        <v>0</v>
      </c>
      <c r="T188" s="148">
        <v>0</v>
      </c>
      <c r="U188" s="148">
        <v>0</v>
      </c>
      <c r="V188" s="148">
        <v>0</v>
      </c>
      <c r="W188" s="148">
        <v>0</v>
      </c>
      <c r="X188" s="148">
        <v>0</v>
      </c>
      <c r="Y188" s="148">
        <v>0</v>
      </c>
      <c r="Z188" s="148">
        <v>0</v>
      </c>
      <c r="AA188" s="10"/>
      <c r="AB188" s="148">
        <v>0</v>
      </c>
      <c r="AC188" s="148">
        <v>0</v>
      </c>
      <c r="AD188" s="148">
        <v>0</v>
      </c>
      <c r="AE188" s="148">
        <v>0</v>
      </c>
      <c r="AF188" s="148">
        <v>0</v>
      </c>
      <c r="AG188" s="148">
        <v>-16694.634699304901</v>
      </c>
      <c r="AH188" s="148">
        <v>0</v>
      </c>
      <c r="AI188" s="148">
        <v>0</v>
      </c>
      <c r="AJ188" s="148">
        <v>-22074.811900870001</v>
      </c>
      <c r="AK188" s="148">
        <v>0</v>
      </c>
      <c r="AL188" s="148">
        <v>0</v>
      </c>
      <c r="AM188" s="148">
        <v>-29683.936181652</v>
      </c>
      <c r="AN188" s="10"/>
    </row>
    <row r="189" spans="1:40" ht="14.4" x14ac:dyDescent="0.3">
      <c r="A189" s="147" t="s">
        <v>838</v>
      </c>
      <c r="B189" s="148">
        <v>0</v>
      </c>
      <c r="C189" s="148">
        <v>0</v>
      </c>
      <c r="D189" s="148">
        <v>0</v>
      </c>
      <c r="E189" s="148">
        <v>-7027.6180000000004</v>
      </c>
      <c r="F189" s="148">
        <v>0</v>
      </c>
      <c r="G189" s="148">
        <v>-7027.6180000000004</v>
      </c>
      <c r="H189" s="148">
        <v>0</v>
      </c>
      <c r="I189" s="148">
        <v>0</v>
      </c>
      <c r="J189" s="148">
        <v>-7027.6180000000004</v>
      </c>
      <c r="K189" s="148">
        <v>0</v>
      </c>
      <c r="L189" s="148">
        <v>0</v>
      </c>
      <c r="M189" s="148">
        <v>-7027.6180000000004</v>
      </c>
      <c r="N189" s="10"/>
      <c r="O189" s="148">
        <v>0</v>
      </c>
      <c r="P189" s="148">
        <v>0</v>
      </c>
      <c r="Q189" s="148">
        <v>0</v>
      </c>
      <c r="R189" s="148">
        <v>0</v>
      </c>
      <c r="S189" s="148">
        <v>0</v>
      </c>
      <c r="T189" s="148">
        <v>0</v>
      </c>
      <c r="U189" s="148">
        <v>0</v>
      </c>
      <c r="V189" s="148">
        <v>0</v>
      </c>
      <c r="W189" s="148">
        <v>0</v>
      </c>
      <c r="X189" s="148">
        <v>0</v>
      </c>
      <c r="Y189" s="148">
        <v>0</v>
      </c>
      <c r="Z189" s="148">
        <v>0</v>
      </c>
      <c r="AA189" s="10"/>
      <c r="AB189" s="148">
        <v>0</v>
      </c>
      <c r="AC189" s="148">
        <v>0</v>
      </c>
      <c r="AD189" s="148">
        <v>0</v>
      </c>
      <c r="AE189" s="148">
        <v>0</v>
      </c>
      <c r="AF189" s="148">
        <v>0</v>
      </c>
      <c r="AG189" s="148">
        <v>0</v>
      </c>
      <c r="AH189" s="148">
        <v>0</v>
      </c>
      <c r="AI189" s="148">
        <v>0</v>
      </c>
      <c r="AJ189" s="148">
        <v>0</v>
      </c>
      <c r="AK189" s="148">
        <v>0</v>
      </c>
      <c r="AL189" s="148">
        <v>0</v>
      </c>
      <c r="AM189" s="148">
        <v>0</v>
      </c>
      <c r="AN189" s="10"/>
    </row>
    <row r="190" spans="1:40" ht="14.4" x14ac:dyDescent="0.3">
      <c r="A190" s="147" t="s">
        <v>839</v>
      </c>
      <c r="B190" s="148">
        <v>0</v>
      </c>
      <c r="C190" s="148">
        <v>0</v>
      </c>
      <c r="D190" s="148">
        <v>0</v>
      </c>
      <c r="E190" s="148">
        <v>0</v>
      </c>
      <c r="F190" s="148">
        <v>0</v>
      </c>
      <c r="G190" s="148">
        <v>0</v>
      </c>
      <c r="H190" s="148">
        <v>0</v>
      </c>
      <c r="I190" s="148">
        <v>0</v>
      </c>
      <c r="J190" s="148">
        <v>0</v>
      </c>
      <c r="K190" s="148">
        <v>0</v>
      </c>
      <c r="L190" s="148">
        <v>0</v>
      </c>
      <c r="M190" s="148">
        <v>0</v>
      </c>
      <c r="N190" s="10"/>
      <c r="O190" s="148">
        <v>0</v>
      </c>
      <c r="P190" s="148">
        <v>0</v>
      </c>
      <c r="Q190" s="148">
        <v>0</v>
      </c>
      <c r="R190" s="148">
        <v>0</v>
      </c>
      <c r="S190" s="148">
        <v>0</v>
      </c>
      <c r="T190" s="148">
        <v>0</v>
      </c>
      <c r="U190" s="148">
        <v>0</v>
      </c>
      <c r="V190" s="148">
        <v>0</v>
      </c>
      <c r="W190" s="148">
        <v>0</v>
      </c>
      <c r="X190" s="148">
        <v>0</v>
      </c>
      <c r="Y190" s="148">
        <v>0</v>
      </c>
      <c r="Z190" s="148">
        <v>0</v>
      </c>
      <c r="AA190" s="10"/>
      <c r="AB190" s="148">
        <v>0</v>
      </c>
      <c r="AC190" s="148">
        <v>0</v>
      </c>
      <c r="AD190" s="148">
        <v>0</v>
      </c>
      <c r="AE190" s="148">
        <v>0</v>
      </c>
      <c r="AF190" s="148">
        <v>0</v>
      </c>
      <c r="AG190" s="148">
        <v>0</v>
      </c>
      <c r="AH190" s="148">
        <v>0</v>
      </c>
      <c r="AI190" s="148">
        <v>0</v>
      </c>
      <c r="AJ190" s="148">
        <v>0</v>
      </c>
      <c r="AK190" s="148">
        <v>0</v>
      </c>
      <c r="AL190" s="148">
        <v>0</v>
      </c>
      <c r="AM190" s="148">
        <v>0</v>
      </c>
      <c r="AN190" s="10"/>
    </row>
    <row r="191" spans="1:40" ht="14.4" x14ac:dyDescent="0.3">
      <c r="A191" s="147" t="s">
        <v>840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4.4" x14ac:dyDescent="0.3">
      <c r="A192" s="147" t="s">
        <v>841</v>
      </c>
      <c r="B192" s="148">
        <v>0</v>
      </c>
      <c r="C192" s="148">
        <v>0</v>
      </c>
      <c r="D192" s="148">
        <v>0</v>
      </c>
      <c r="E192" s="148">
        <v>0</v>
      </c>
      <c r="F192" s="148">
        <v>0</v>
      </c>
      <c r="G192" s="148">
        <v>0</v>
      </c>
      <c r="H192" s="148">
        <v>0</v>
      </c>
      <c r="I192" s="148">
        <v>0</v>
      </c>
      <c r="J192" s="148">
        <v>1</v>
      </c>
      <c r="K192" s="148">
        <v>0</v>
      </c>
      <c r="L192" s="148">
        <v>0</v>
      </c>
      <c r="M192" s="148">
        <v>0</v>
      </c>
      <c r="N192" s="10"/>
      <c r="O192" s="148">
        <v>0</v>
      </c>
      <c r="P192" s="148">
        <v>0</v>
      </c>
      <c r="Q192" s="148">
        <v>0</v>
      </c>
      <c r="R192" s="148">
        <v>0</v>
      </c>
      <c r="S192" s="148">
        <v>0</v>
      </c>
      <c r="T192" s="148">
        <v>0</v>
      </c>
      <c r="U192" s="148">
        <v>0</v>
      </c>
      <c r="V192" s="148">
        <v>0</v>
      </c>
      <c r="W192" s="148">
        <v>0</v>
      </c>
      <c r="X192" s="148">
        <v>0</v>
      </c>
      <c r="Y192" s="148">
        <v>0</v>
      </c>
      <c r="Z192" s="148">
        <v>0</v>
      </c>
      <c r="AA192" s="10"/>
      <c r="AB192" s="148">
        <v>0</v>
      </c>
      <c r="AC192" s="148">
        <v>0</v>
      </c>
      <c r="AD192" s="148">
        <v>0</v>
      </c>
      <c r="AE192" s="148">
        <v>0</v>
      </c>
      <c r="AF192" s="148">
        <v>0</v>
      </c>
      <c r="AG192" s="148">
        <v>0</v>
      </c>
      <c r="AH192" s="148">
        <v>0</v>
      </c>
      <c r="AI192" s="148">
        <v>0</v>
      </c>
      <c r="AJ192" s="148">
        <v>0</v>
      </c>
      <c r="AK192" s="148">
        <v>0</v>
      </c>
      <c r="AL192" s="148">
        <v>0</v>
      </c>
      <c r="AM192" s="148">
        <v>0</v>
      </c>
      <c r="AN192" s="10"/>
    </row>
    <row r="193" spans="1:40" ht="14.4" x14ac:dyDescent="0.3">
      <c r="A193" s="147" t="s">
        <v>842</v>
      </c>
      <c r="B193" s="148">
        <v>0</v>
      </c>
      <c r="C193" s="148">
        <v>0</v>
      </c>
      <c r="D193" s="148">
        <v>0</v>
      </c>
      <c r="E193" s="148">
        <v>0</v>
      </c>
      <c r="F193" s="148">
        <v>0</v>
      </c>
      <c r="G193" s="148">
        <v>0</v>
      </c>
      <c r="H193" s="148">
        <v>0</v>
      </c>
      <c r="I193" s="148">
        <v>0</v>
      </c>
      <c r="J193" s="148">
        <v>-9691.2465488424805</v>
      </c>
      <c r="K193" s="148">
        <v>0</v>
      </c>
      <c r="L193" s="148">
        <v>0</v>
      </c>
      <c r="M193" s="148">
        <v>0</v>
      </c>
      <c r="N193" s="10"/>
      <c r="O193" s="148">
        <v>0</v>
      </c>
      <c r="P193" s="148">
        <v>0</v>
      </c>
      <c r="Q193" s="148">
        <v>0</v>
      </c>
      <c r="R193" s="148">
        <v>0</v>
      </c>
      <c r="S193" s="148">
        <v>0</v>
      </c>
      <c r="T193" s="148">
        <v>0</v>
      </c>
      <c r="U193" s="148">
        <v>0</v>
      </c>
      <c r="V193" s="148">
        <v>0</v>
      </c>
      <c r="W193" s="148">
        <v>0</v>
      </c>
      <c r="X193" s="148">
        <v>0</v>
      </c>
      <c r="Y193" s="148">
        <v>0</v>
      </c>
      <c r="Z193" s="148">
        <v>0</v>
      </c>
      <c r="AA193" s="10"/>
      <c r="AB193" s="148">
        <v>0</v>
      </c>
      <c r="AC193" s="148">
        <v>0</v>
      </c>
      <c r="AD193" s="148">
        <v>0</v>
      </c>
      <c r="AE193" s="148">
        <v>0</v>
      </c>
      <c r="AF193" s="148">
        <v>0</v>
      </c>
      <c r="AG193" s="148">
        <v>0</v>
      </c>
      <c r="AH193" s="148">
        <v>0</v>
      </c>
      <c r="AI193" s="148">
        <v>0</v>
      </c>
      <c r="AJ193" s="148">
        <v>0</v>
      </c>
      <c r="AK193" s="148">
        <v>0</v>
      </c>
      <c r="AL193" s="148">
        <v>0</v>
      </c>
      <c r="AM193" s="148">
        <v>0</v>
      </c>
      <c r="AN193" s="10"/>
    </row>
    <row r="194" spans="1:40" ht="14.4" x14ac:dyDescent="0.3">
      <c r="A194" s="147" t="s">
        <v>843</v>
      </c>
      <c r="B194" s="148">
        <v>0</v>
      </c>
      <c r="C194" s="148">
        <v>0</v>
      </c>
      <c r="D194" s="148">
        <v>0</v>
      </c>
      <c r="E194" s="148">
        <v>0</v>
      </c>
      <c r="F194" s="148">
        <v>0</v>
      </c>
      <c r="G194" s="148">
        <v>0</v>
      </c>
      <c r="H194" s="148">
        <v>0</v>
      </c>
      <c r="I194" s="148">
        <v>0</v>
      </c>
      <c r="J194" s="148">
        <v>0</v>
      </c>
      <c r="K194" s="148">
        <v>0</v>
      </c>
      <c r="L194" s="148">
        <v>0</v>
      </c>
      <c r="M194" s="148">
        <v>0</v>
      </c>
      <c r="N194" s="10"/>
      <c r="O194" s="148">
        <v>0</v>
      </c>
      <c r="P194" s="148">
        <v>0</v>
      </c>
      <c r="Q194" s="148">
        <v>0</v>
      </c>
      <c r="R194" s="148">
        <v>0</v>
      </c>
      <c r="S194" s="148">
        <v>0</v>
      </c>
      <c r="T194" s="148">
        <v>0</v>
      </c>
      <c r="U194" s="148">
        <v>0</v>
      </c>
      <c r="V194" s="148">
        <v>0</v>
      </c>
      <c r="W194" s="148">
        <v>0</v>
      </c>
      <c r="X194" s="148">
        <v>0</v>
      </c>
      <c r="Y194" s="148">
        <v>0</v>
      </c>
      <c r="Z194" s="148">
        <v>0</v>
      </c>
      <c r="AA194" s="10"/>
      <c r="AB194" s="148">
        <v>0</v>
      </c>
      <c r="AC194" s="148">
        <v>0</v>
      </c>
      <c r="AD194" s="148">
        <v>0</v>
      </c>
      <c r="AE194" s="148">
        <v>0</v>
      </c>
      <c r="AF194" s="148">
        <v>0</v>
      </c>
      <c r="AG194" s="148">
        <v>0</v>
      </c>
      <c r="AH194" s="148">
        <v>0</v>
      </c>
      <c r="AI194" s="148">
        <v>0</v>
      </c>
      <c r="AJ194" s="148">
        <v>0</v>
      </c>
      <c r="AK194" s="148">
        <v>0</v>
      </c>
      <c r="AL194" s="148">
        <v>0</v>
      </c>
      <c r="AM194" s="148">
        <v>0</v>
      </c>
      <c r="AN194" s="10"/>
    </row>
    <row r="195" spans="1:40" ht="14.4" x14ac:dyDescent="0.3">
      <c r="A195" s="147" t="s">
        <v>844</v>
      </c>
      <c r="B195" s="148">
        <v>0</v>
      </c>
      <c r="C195" s="148">
        <v>0</v>
      </c>
      <c r="D195" s="148">
        <v>0</v>
      </c>
      <c r="E195" s="148">
        <v>0</v>
      </c>
      <c r="F195" s="148">
        <v>0</v>
      </c>
      <c r="G195" s="148">
        <v>0</v>
      </c>
      <c r="H195" s="148">
        <v>0</v>
      </c>
      <c r="I195" s="148">
        <v>0</v>
      </c>
      <c r="J195" s="148">
        <v>0</v>
      </c>
      <c r="K195" s="148">
        <v>0</v>
      </c>
      <c r="L195" s="148">
        <v>0</v>
      </c>
      <c r="M195" s="148">
        <v>0</v>
      </c>
      <c r="N195" s="10"/>
      <c r="O195" s="148">
        <v>0</v>
      </c>
      <c r="P195" s="148">
        <v>0</v>
      </c>
      <c r="Q195" s="148">
        <v>0</v>
      </c>
      <c r="R195" s="148">
        <v>0</v>
      </c>
      <c r="S195" s="148">
        <v>0</v>
      </c>
      <c r="T195" s="148">
        <v>0</v>
      </c>
      <c r="U195" s="148">
        <v>0</v>
      </c>
      <c r="V195" s="148">
        <v>0</v>
      </c>
      <c r="W195" s="148">
        <v>0</v>
      </c>
      <c r="X195" s="148">
        <v>0</v>
      </c>
      <c r="Y195" s="148">
        <v>0</v>
      </c>
      <c r="Z195" s="148">
        <v>0</v>
      </c>
      <c r="AA195" s="10"/>
      <c r="AB195" s="148">
        <v>0</v>
      </c>
      <c r="AC195" s="148">
        <v>0</v>
      </c>
      <c r="AD195" s="148">
        <v>0</v>
      </c>
      <c r="AE195" s="148">
        <v>0</v>
      </c>
      <c r="AF195" s="148">
        <v>0</v>
      </c>
      <c r="AG195" s="148">
        <v>0</v>
      </c>
      <c r="AH195" s="148">
        <v>0</v>
      </c>
      <c r="AI195" s="148">
        <v>0</v>
      </c>
      <c r="AJ195" s="148">
        <v>0</v>
      </c>
      <c r="AK195" s="148">
        <v>0</v>
      </c>
      <c r="AL195" s="148">
        <v>0</v>
      </c>
      <c r="AM195" s="148">
        <v>0</v>
      </c>
      <c r="AN195" s="10"/>
    </row>
    <row r="196" spans="1:40" ht="14.4" x14ac:dyDescent="0.3">
      <c r="A196" s="147" t="s">
        <v>845</v>
      </c>
      <c r="B196" s="148">
        <v>1</v>
      </c>
      <c r="C196" s="148">
        <v>1</v>
      </c>
      <c r="D196" s="148">
        <v>1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0</v>
      </c>
      <c r="K196" s="148">
        <v>1</v>
      </c>
      <c r="L196" s="148">
        <v>1</v>
      </c>
      <c r="M196" s="148">
        <v>1</v>
      </c>
      <c r="N196" s="10"/>
      <c r="O196" s="148">
        <v>1</v>
      </c>
      <c r="P196" s="148">
        <v>1</v>
      </c>
      <c r="Q196" s="148">
        <v>1</v>
      </c>
      <c r="R196" s="148">
        <v>1</v>
      </c>
      <c r="S196" s="148">
        <v>1</v>
      </c>
      <c r="T196" s="148">
        <v>1</v>
      </c>
      <c r="U196" s="148">
        <v>1</v>
      </c>
      <c r="V196" s="148">
        <v>1</v>
      </c>
      <c r="W196" s="148">
        <v>1</v>
      </c>
      <c r="X196" s="148">
        <v>1</v>
      </c>
      <c r="Y196" s="148">
        <v>1</v>
      </c>
      <c r="Z196" s="148">
        <v>1</v>
      </c>
      <c r="AA196" s="10"/>
      <c r="AB196" s="148">
        <v>1</v>
      </c>
      <c r="AC196" s="148">
        <v>1</v>
      </c>
      <c r="AD196" s="148">
        <v>1</v>
      </c>
      <c r="AE196" s="148">
        <v>1</v>
      </c>
      <c r="AF196" s="148">
        <v>1</v>
      </c>
      <c r="AG196" s="148">
        <v>1</v>
      </c>
      <c r="AH196" s="148">
        <v>1</v>
      </c>
      <c r="AI196" s="148">
        <v>1</v>
      </c>
      <c r="AJ196" s="148">
        <v>1</v>
      </c>
      <c r="AK196" s="148">
        <v>1</v>
      </c>
      <c r="AL196" s="148">
        <v>1</v>
      </c>
      <c r="AM196" s="148">
        <v>1</v>
      </c>
      <c r="AN196" s="10"/>
    </row>
    <row r="197" spans="1:40" ht="14.4" x14ac:dyDescent="0.3">
      <c r="A197" s="147" t="s">
        <v>846</v>
      </c>
      <c r="B197" s="148">
        <v>0</v>
      </c>
      <c r="C197" s="148">
        <v>0</v>
      </c>
      <c r="D197" s="148">
        <v>0</v>
      </c>
      <c r="E197" s="148">
        <v>6779.08871927992</v>
      </c>
      <c r="F197" s="148">
        <v>0</v>
      </c>
      <c r="G197" s="148">
        <v>-5570.9331428901496</v>
      </c>
      <c r="H197" s="148">
        <v>0</v>
      </c>
      <c r="I197" s="148">
        <v>0</v>
      </c>
      <c r="J197" s="148">
        <v>0</v>
      </c>
      <c r="K197" s="148">
        <v>0</v>
      </c>
      <c r="L197" s="148">
        <v>0</v>
      </c>
      <c r="M197" s="148">
        <v>-7027.6179999864598</v>
      </c>
      <c r="N197" s="10"/>
      <c r="O197" s="148">
        <v>0</v>
      </c>
      <c r="P197" s="148">
        <v>0</v>
      </c>
      <c r="Q197" s="148">
        <v>0</v>
      </c>
      <c r="R197" s="148">
        <v>6050.4499091019197</v>
      </c>
      <c r="S197" s="148">
        <v>0</v>
      </c>
      <c r="T197" s="148">
        <v>1914.2324928789899</v>
      </c>
      <c r="U197" s="148">
        <v>0</v>
      </c>
      <c r="V197" s="148">
        <v>0</v>
      </c>
      <c r="W197" s="148">
        <v>1867.31923598093</v>
      </c>
      <c r="X197" s="148">
        <v>0</v>
      </c>
      <c r="Y197" s="148">
        <v>0</v>
      </c>
      <c r="Z197" s="148">
        <v>-8.3685381468967503E-7</v>
      </c>
      <c r="AA197" s="10"/>
      <c r="AB197" s="148">
        <v>0</v>
      </c>
      <c r="AC197" s="148">
        <v>0</v>
      </c>
      <c r="AD197" s="148">
        <v>0</v>
      </c>
      <c r="AE197" s="148">
        <v>16694.634699304901</v>
      </c>
      <c r="AF197" s="148">
        <v>0</v>
      </c>
      <c r="AG197" s="148">
        <v>5380.1772015651204</v>
      </c>
      <c r="AH197" s="148">
        <v>0</v>
      </c>
      <c r="AI197" s="148">
        <v>0</v>
      </c>
      <c r="AJ197" s="148">
        <v>7609.1242807819399</v>
      </c>
      <c r="AK197" s="148">
        <v>0</v>
      </c>
      <c r="AL197" s="148">
        <v>0</v>
      </c>
      <c r="AM197" s="148">
        <v>6619.8909529012599</v>
      </c>
      <c r="AN197" s="10"/>
    </row>
    <row r="198" spans="1:40" ht="14.4" x14ac:dyDescent="0.3">
      <c r="A198" s="147" t="s">
        <v>847</v>
      </c>
      <c r="B198" s="148">
        <v>0</v>
      </c>
      <c r="C198" s="148">
        <v>0</v>
      </c>
      <c r="D198" s="148">
        <v>0</v>
      </c>
      <c r="E198" s="148">
        <v>0</v>
      </c>
      <c r="F198" s="148">
        <v>0</v>
      </c>
      <c r="G198" s="148">
        <v>0</v>
      </c>
      <c r="H198" s="148">
        <v>0</v>
      </c>
      <c r="I198" s="148">
        <v>0</v>
      </c>
      <c r="J198" s="148">
        <v>0</v>
      </c>
      <c r="K198" s="148">
        <v>0</v>
      </c>
      <c r="L198" s="148">
        <v>0</v>
      </c>
      <c r="M198" s="148">
        <v>0</v>
      </c>
      <c r="N198" s="10"/>
      <c r="O198" s="148">
        <v>0</v>
      </c>
      <c r="P198" s="148">
        <v>0</v>
      </c>
      <c r="Q198" s="148">
        <v>0</v>
      </c>
      <c r="R198" s="148">
        <v>0</v>
      </c>
      <c r="S198" s="148">
        <v>0</v>
      </c>
      <c r="T198" s="148">
        <v>0</v>
      </c>
      <c r="U198" s="148">
        <v>0</v>
      </c>
      <c r="V198" s="148">
        <v>0</v>
      </c>
      <c r="W198" s="148">
        <v>0</v>
      </c>
      <c r="X198" s="148">
        <v>0</v>
      </c>
      <c r="Y198" s="148">
        <v>0</v>
      </c>
      <c r="Z198" s="148">
        <v>0</v>
      </c>
      <c r="AA198" s="10"/>
      <c r="AB198" s="148">
        <v>0</v>
      </c>
      <c r="AC198" s="148">
        <v>0</v>
      </c>
      <c r="AD198" s="148">
        <v>0</v>
      </c>
      <c r="AE198" s="148">
        <v>0</v>
      </c>
      <c r="AF198" s="148">
        <v>0</v>
      </c>
      <c r="AG198" s="148">
        <v>0</v>
      </c>
      <c r="AH198" s="148">
        <v>0</v>
      </c>
      <c r="AI198" s="148">
        <v>0</v>
      </c>
      <c r="AJ198" s="148">
        <v>0</v>
      </c>
      <c r="AK198" s="148">
        <v>0</v>
      </c>
      <c r="AL198" s="148">
        <v>0</v>
      </c>
      <c r="AM198" s="148">
        <v>0</v>
      </c>
      <c r="AN198" s="10"/>
    </row>
    <row r="199" spans="1:40" ht="14.4" x14ac:dyDescent="0.3">
      <c r="A199" s="147" t="s">
        <v>848</v>
      </c>
      <c r="B199" s="148">
        <v>0</v>
      </c>
      <c r="C199" s="148">
        <v>0</v>
      </c>
      <c r="D199" s="148">
        <v>0</v>
      </c>
      <c r="E199" s="148">
        <v>6779.08871927992</v>
      </c>
      <c r="F199" s="148">
        <v>0</v>
      </c>
      <c r="G199" s="148">
        <v>-5570.9331428901496</v>
      </c>
      <c r="H199" s="148">
        <v>0</v>
      </c>
      <c r="I199" s="148">
        <v>0</v>
      </c>
      <c r="J199" s="148">
        <v>-9691.2465488424805</v>
      </c>
      <c r="K199" s="148">
        <v>0</v>
      </c>
      <c r="L199" s="148">
        <v>0</v>
      </c>
      <c r="M199" s="148">
        <v>-7027.6179999864598</v>
      </c>
      <c r="N199" s="10"/>
      <c r="O199" s="148">
        <v>0</v>
      </c>
      <c r="P199" s="148">
        <v>0</v>
      </c>
      <c r="Q199" s="148">
        <v>0</v>
      </c>
      <c r="R199" s="148">
        <v>6050.4499091019197</v>
      </c>
      <c r="S199" s="148">
        <v>0</v>
      </c>
      <c r="T199" s="148">
        <v>1914.2324928789899</v>
      </c>
      <c r="U199" s="148">
        <v>0</v>
      </c>
      <c r="V199" s="148">
        <v>0</v>
      </c>
      <c r="W199" s="148">
        <v>1867.31923598093</v>
      </c>
      <c r="X199" s="148">
        <v>0</v>
      </c>
      <c r="Y199" s="148">
        <v>0</v>
      </c>
      <c r="Z199" s="148">
        <v>-8.3685381468967503E-7</v>
      </c>
      <c r="AA199" s="10"/>
      <c r="AB199" s="148">
        <v>0</v>
      </c>
      <c r="AC199" s="148">
        <v>0</v>
      </c>
      <c r="AD199" s="148">
        <v>0</v>
      </c>
      <c r="AE199" s="148">
        <v>16694.634699304901</v>
      </c>
      <c r="AF199" s="148">
        <v>0</v>
      </c>
      <c r="AG199" s="148">
        <v>5380.1772015651204</v>
      </c>
      <c r="AH199" s="148">
        <v>0</v>
      </c>
      <c r="AI199" s="148">
        <v>0</v>
      </c>
      <c r="AJ199" s="148">
        <v>7609.1242807819399</v>
      </c>
      <c r="AK199" s="148">
        <v>0</v>
      </c>
      <c r="AL199" s="148">
        <v>0</v>
      </c>
      <c r="AM199" s="148">
        <v>6619.8909529012599</v>
      </c>
      <c r="AN199" s="10"/>
    </row>
    <row r="200" spans="1:40" ht="14.4" x14ac:dyDescent="0.3">
      <c r="A200" s="147" t="s">
        <v>849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4.4" x14ac:dyDescent="0.3">
      <c r="A201" s="146" t="s">
        <v>850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4.4" x14ac:dyDescent="0.3">
      <c r="A202" s="147" t="s">
        <v>851</v>
      </c>
      <c r="B202" s="148">
        <v>-3.6488472687778902E-8</v>
      </c>
      <c r="C202" s="148">
        <v>-3.6488472687778902E-8</v>
      </c>
      <c r="D202" s="148">
        <v>-3.6488472687778902E-8</v>
      </c>
      <c r="E202" s="148">
        <v>-3.6488472687778902E-8</v>
      </c>
      <c r="F202" s="148">
        <v>-3.6488472687778902E-8</v>
      </c>
      <c r="G202" s="148">
        <v>-3.6488472687778902E-8</v>
      </c>
      <c r="H202" s="148">
        <v>-3.6488472687778902E-8</v>
      </c>
      <c r="I202" s="148">
        <v>-3.6488472687778902E-8</v>
      </c>
      <c r="J202" s="148">
        <v>-3.6488472687778902E-8</v>
      </c>
      <c r="K202" s="148">
        <v>-3.6488472687778902E-8</v>
      </c>
      <c r="L202" s="148">
        <v>-3.6488472687778902E-8</v>
      </c>
      <c r="M202" s="148">
        <v>1.353782863589E-8</v>
      </c>
      <c r="N202" s="10"/>
      <c r="O202" s="148">
        <v>-1.16669116323464E-6</v>
      </c>
      <c r="P202" s="148">
        <v>-1.16669116323464E-6</v>
      </c>
      <c r="Q202" s="148">
        <v>-1.16669116323464E-6</v>
      </c>
      <c r="R202" s="148">
        <v>-1.16669116323464E-6</v>
      </c>
      <c r="S202" s="148">
        <v>-1.16669116323464E-6</v>
      </c>
      <c r="T202" s="148">
        <v>-1.16669116323464E-6</v>
      </c>
      <c r="U202" s="148">
        <v>-1.16669116323464E-6</v>
      </c>
      <c r="V202" s="148">
        <v>-1.16669116323464E-6</v>
      </c>
      <c r="W202" s="148">
        <v>-1.16669116323464E-6</v>
      </c>
      <c r="X202" s="148">
        <v>-1.16669116323464E-6</v>
      </c>
      <c r="Y202" s="148">
        <v>-1.16669116323464E-6</v>
      </c>
      <c r="Z202" s="148">
        <v>-8.3685381468967503E-7</v>
      </c>
      <c r="AA202" s="10"/>
      <c r="AB202" s="148">
        <v>36303.8271357501</v>
      </c>
      <c r="AC202" s="148">
        <v>36303.8271357501</v>
      </c>
      <c r="AD202" s="148">
        <v>36303.8271357501</v>
      </c>
      <c r="AE202" s="148">
        <v>36303.8271357501</v>
      </c>
      <c r="AF202" s="148">
        <v>36303.8271357501</v>
      </c>
      <c r="AG202" s="148">
        <v>36303.8271357501</v>
      </c>
      <c r="AH202" s="148">
        <v>36303.8271357501</v>
      </c>
      <c r="AI202" s="148">
        <v>36303.8271357501</v>
      </c>
      <c r="AJ202" s="148">
        <v>36303.8271357501</v>
      </c>
      <c r="AK202" s="148">
        <v>36303.8271357501</v>
      </c>
      <c r="AL202" s="148">
        <v>36303.8271357501</v>
      </c>
      <c r="AM202" s="148">
        <v>36303.827134553198</v>
      </c>
      <c r="AN202" s="10"/>
    </row>
    <row r="203" spans="1:40" ht="14.4" x14ac:dyDescent="0.3">
      <c r="A203" s="147" t="s">
        <v>852</v>
      </c>
      <c r="B203" s="148">
        <v>0</v>
      </c>
      <c r="C203" s="148">
        <v>0</v>
      </c>
      <c r="D203" s="148">
        <v>0</v>
      </c>
      <c r="E203" s="148">
        <v>0</v>
      </c>
      <c r="F203" s="148">
        <v>0</v>
      </c>
      <c r="G203" s="148">
        <v>0</v>
      </c>
      <c r="H203" s="148">
        <v>0</v>
      </c>
      <c r="I203" s="148">
        <v>0</v>
      </c>
      <c r="J203" s="148">
        <v>0</v>
      </c>
      <c r="K203" s="148">
        <v>0</v>
      </c>
      <c r="L203" s="148">
        <v>0</v>
      </c>
      <c r="M203" s="148">
        <v>0</v>
      </c>
      <c r="N203" s="10"/>
      <c r="O203" s="148">
        <v>0</v>
      </c>
      <c r="P203" s="148">
        <v>0</v>
      </c>
      <c r="Q203" s="148">
        <v>0</v>
      </c>
      <c r="R203" s="148">
        <v>0</v>
      </c>
      <c r="S203" s="148">
        <v>0</v>
      </c>
      <c r="T203" s="148">
        <v>0</v>
      </c>
      <c r="U203" s="148">
        <v>0</v>
      </c>
      <c r="V203" s="148">
        <v>0</v>
      </c>
      <c r="W203" s="148">
        <v>0</v>
      </c>
      <c r="X203" s="148">
        <v>0</v>
      </c>
      <c r="Y203" s="148">
        <v>0</v>
      </c>
      <c r="Z203" s="148">
        <v>0</v>
      </c>
      <c r="AA203" s="10"/>
      <c r="AB203" s="148">
        <v>36304</v>
      </c>
      <c r="AC203" s="148">
        <v>36304</v>
      </c>
      <c r="AD203" s="148">
        <v>36304</v>
      </c>
      <c r="AE203" s="148">
        <v>36304</v>
      </c>
      <c r="AF203" s="148">
        <v>36304</v>
      </c>
      <c r="AG203" s="148">
        <v>36304</v>
      </c>
      <c r="AH203" s="148">
        <v>36304</v>
      </c>
      <c r="AI203" s="148">
        <v>36304</v>
      </c>
      <c r="AJ203" s="148">
        <v>36304</v>
      </c>
      <c r="AK203" s="148">
        <v>36304</v>
      </c>
      <c r="AL203" s="148">
        <v>36304</v>
      </c>
      <c r="AM203" s="148">
        <v>36304</v>
      </c>
      <c r="AN203" s="10"/>
    </row>
    <row r="204" spans="1:40" ht="14.4" x14ac:dyDescent="0.3">
      <c r="A204" s="147" t="s">
        <v>853</v>
      </c>
      <c r="B204" s="148">
        <v>0</v>
      </c>
      <c r="C204" s="148">
        <v>0</v>
      </c>
      <c r="D204" s="148">
        <v>0</v>
      </c>
      <c r="E204" s="148">
        <v>0</v>
      </c>
      <c r="F204" s="148">
        <v>0</v>
      </c>
      <c r="G204" s="148">
        <v>0</v>
      </c>
      <c r="H204" s="148">
        <v>0</v>
      </c>
      <c r="I204" s="148">
        <v>0</v>
      </c>
      <c r="J204" s="148">
        <v>0</v>
      </c>
      <c r="K204" s="148">
        <v>0</v>
      </c>
      <c r="L204" s="148">
        <v>0</v>
      </c>
      <c r="M204" s="148">
        <v>0</v>
      </c>
      <c r="N204" s="10"/>
      <c r="O204" s="148">
        <v>0</v>
      </c>
      <c r="P204" s="148">
        <v>0</v>
      </c>
      <c r="Q204" s="148">
        <v>0</v>
      </c>
      <c r="R204" s="148">
        <v>0</v>
      </c>
      <c r="S204" s="148">
        <v>0</v>
      </c>
      <c r="T204" s="148">
        <v>0</v>
      </c>
      <c r="U204" s="148">
        <v>0</v>
      </c>
      <c r="V204" s="148">
        <v>0</v>
      </c>
      <c r="W204" s="148">
        <v>0</v>
      </c>
      <c r="X204" s="148">
        <v>0</v>
      </c>
      <c r="Y204" s="148">
        <v>0</v>
      </c>
      <c r="Z204" s="148">
        <v>0</v>
      </c>
      <c r="AA204" s="10"/>
      <c r="AB204" s="148">
        <v>0</v>
      </c>
      <c r="AC204" s="148">
        <v>0</v>
      </c>
      <c r="AD204" s="148">
        <v>0</v>
      </c>
      <c r="AE204" s="148">
        <v>0</v>
      </c>
      <c r="AF204" s="148">
        <v>0</v>
      </c>
      <c r="AG204" s="148">
        <v>0</v>
      </c>
      <c r="AH204" s="148">
        <v>0</v>
      </c>
      <c r="AI204" s="148">
        <v>0</v>
      </c>
      <c r="AJ204" s="148">
        <v>0</v>
      </c>
      <c r="AK204" s="148">
        <v>0</v>
      </c>
      <c r="AL204" s="148">
        <v>0</v>
      </c>
      <c r="AM204" s="148">
        <v>0</v>
      </c>
      <c r="AN204" s="10"/>
    </row>
    <row r="205" spans="1:40" ht="14.4" x14ac:dyDescent="0.3">
      <c r="A205" s="147" t="s">
        <v>854</v>
      </c>
      <c r="B205" s="148">
        <v>0</v>
      </c>
      <c r="C205" s="148">
        <v>0</v>
      </c>
      <c r="D205" s="148">
        <v>0</v>
      </c>
      <c r="E205" s="148">
        <v>0</v>
      </c>
      <c r="F205" s="148">
        <v>0</v>
      </c>
      <c r="G205" s="148">
        <v>0</v>
      </c>
      <c r="H205" s="148">
        <v>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0"/>
      <c r="O205" s="148">
        <v>0</v>
      </c>
      <c r="P205" s="148">
        <v>0</v>
      </c>
      <c r="Q205" s="148">
        <v>0</v>
      </c>
      <c r="R205" s="148">
        <v>0</v>
      </c>
      <c r="S205" s="148">
        <v>0</v>
      </c>
      <c r="T205" s="148">
        <v>0</v>
      </c>
      <c r="U205" s="148">
        <v>0</v>
      </c>
      <c r="V205" s="148">
        <v>0</v>
      </c>
      <c r="W205" s="148">
        <v>0</v>
      </c>
      <c r="X205" s="148">
        <v>0</v>
      </c>
      <c r="Y205" s="148">
        <v>0</v>
      </c>
      <c r="Z205" s="148">
        <v>0</v>
      </c>
      <c r="AA205" s="10"/>
      <c r="AB205" s="148">
        <v>0</v>
      </c>
      <c r="AC205" s="148">
        <v>0</v>
      </c>
      <c r="AD205" s="148">
        <v>0</v>
      </c>
      <c r="AE205" s="148">
        <v>16694.634699304901</v>
      </c>
      <c r="AF205" s="148">
        <v>0</v>
      </c>
      <c r="AG205" s="148">
        <v>5380.1772015651204</v>
      </c>
      <c r="AH205" s="148">
        <v>0</v>
      </c>
      <c r="AI205" s="148">
        <v>0</v>
      </c>
      <c r="AJ205" s="148">
        <v>7609.1242807819399</v>
      </c>
      <c r="AK205" s="148">
        <v>0</v>
      </c>
      <c r="AL205" s="148">
        <v>0</v>
      </c>
      <c r="AM205" s="148">
        <v>6619.8909529012599</v>
      </c>
      <c r="AN205" s="10"/>
    </row>
    <row r="206" spans="1:40" ht="14.4" x14ac:dyDescent="0.3">
      <c r="A206" s="147" t="s">
        <v>855</v>
      </c>
      <c r="B206" s="148">
        <v>0</v>
      </c>
      <c r="C206" s="148">
        <v>0</v>
      </c>
      <c r="D206" s="148">
        <v>0</v>
      </c>
      <c r="E206" s="148">
        <v>0</v>
      </c>
      <c r="F206" s="148">
        <v>0</v>
      </c>
      <c r="G206" s="148">
        <v>0</v>
      </c>
      <c r="H206" s="148">
        <v>0</v>
      </c>
      <c r="I206" s="148">
        <v>0</v>
      </c>
      <c r="J206" s="148">
        <v>0</v>
      </c>
      <c r="K206" s="148">
        <v>0</v>
      </c>
      <c r="L206" s="148">
        <v>0</v>
      </c>
      <c r="M206" s="148">
        <v>0</v>
      </c>
      <c r="N206" s="10"/>
      <c r="O206" s="148">
        <v>0</v>
      </c>
      <c r="P206" s="148">
        <v>0</v>
      </c>
      <c r="Q206" s="148">
        <v>0</v>
      </c>
      <c r="R206" s="148">
        <v>0</v>
      </c>
      <c r="S206" s="148">
        <v>0</v>
      </c>
      <c r="T206" s="148">
        <v>0</v>
      </c>
      <c r="U206" s="148">
        <v>0</v>
      </c>
      <c r="V206" s="148">
        <v>0</v>
      </c>
      <c r="W206" s="148">
        <v>0</v>
      </c>
      <c r="X206" s="148">
        <v>0</v>
      </c>
      <c r="Y206" s="148">
        <v>0</v>
      </c>
      <c r="Z206" s="148">
        <v>0</v>
      </c>
      <c r="AA206" s="10"/>
      <c r="AB206" s="148">
        <v>0</v>
      </c>
      <c r="AC206" s="148">
        <v>0</v>
      </c>
      <c r="AD206" s="148">
        <v>0</v>
      </c>
      <c r="AE206" s="148">
        <v>16694.634699304901</v>
      </c>
      <c r="AF206" s="148">
        <v>0</v>
      </c>
      <c r="AG206" s="148">
        <v>5380.1772015651204</v>
      </c>
      <c r="AH206" s="148">
        <v>0</v>
      </c>
      <c r="AI206" s="148">
        <v>0</v>
      </c>
      <c r="AJ206" s="148">
        <v>7609.1242807819399</v>
      </c>
      <c r="AK206" s="148">
        <v>0</v>
      </c>
      <c r="AL206" s="148">
        <v>0</v>
      </c>
      <c r="AM206" s="148">
        <v>6619.8909529012599</v>
      </c>
      <c r="AN206" s="10"/>
    </row>
    <row r="207" spans="1:40" ht="14.4" x14ac:dyDescent="0.3">
      <c r="A207" s="147" t="s">
        <v>856</v>
      </c>
      <c r="B207" s="148">
        <v>0</v>
      </c>
      <c r="C207" s="148">
        <v>0</v>
      </c>
      <c r="D207" s="148">
        <v>0</v>
      </c>
      <c r="E207" s="148">
        <v>0</v>
      </c>
      <c r="F207" s="148">
        <v>0</v>
      </c>
      <c r="G207" s="148">
        <v>0</v>
      </c>
      <c r="H207" s="148">
        <v>0</v>
      </c>
      <c r="I207" s="148">
        <v>0</v>
      </c>
      <c r="J207" s="148">
        <v>0</v>
      </c>
      <c r="K207" s="148">
        <v>0</v>
      </c>
      <c r="L207" s="148">
        <v>0</v>
      </c>
      <c r="M207" s="148">
        <v>0</v>
      </c>
      <c r="N207" s="10"/>
      <c r="O207" s="148">
        <v>0</v>
      </c>
      <c r="P207" s="148">
        <v>0</v>
      </c>
      <c r="Q207" s="148">
        <v>0</v>
      </c>
      <c r="R207" s="148">
        <v>0</v>
      </c>
      <c r="S207" s="148">
        <v>0</v>
      </c>
      <c r="T207" s="148">
        <v>0</v>
      </c>
      <c r="U207" s="148">
        <v>0</v>
      </c>
      <c r="V207" s="148">
        <v>0</v>
      </c>
      <c r="W207" s="148">
        <v>0</v>
      </c>
      <c r="X207" s="148">
        <v>0</v>
      </c>
      <c r="Y207" s="148">
        <v>0</v>
      </c>
      <c r="Z207" s="148">
        <v>0</v>
      </c>
      <c r="AA207" s="10"/>
      <c r="AB207" s="148">
        <v>0</v>
      </c>
      <c r="AC207" s="148">
        <v>0</v>
      </c>
      <c r="AD207" s="148">
        <v>0</v>
      </c>
      <c r="AE207" s="148">
        <v>0</v>
      </c>
      <c r="AF207" s="148">
        <v>0</v>
      </c>
      <c r="AG207" s="148">
        <v>0</v>
      </c>
      <c r="AH207" s="148">
        <v>0</v>
      </c>
      <c r="AI207" s="148">
        <v>0</v>
      </c>
      <c r="AJ207" s="148">
        <v>0</v>
      </c>
      <c r="AK207" s="148">
        <v>0</v>
      </c>
      <c r="AL207" s="148">
        <v>0</v>
      </c>
      <c r="AM207" s="148">
        <v>0</v>
      </c>
      <c r="AN207" s="10"/>
    </row>
    <row r="208" spans="1:40" ht="14.4" x14ac:dyDescent="0.3">
      <c r="A208" s="147" t="s">
        <v>857</v>
      </c>
      <c r="B208" s="148">
        <v>0</v>
      </c>
      <c r="C208" s="148">
        <v>0</v>
      </c>
      <c r="D208" s="148">
        <v>0</v>
      </c>
      <c r="E208" s="148">
        <v>0</v>
      </c>
      <c r="F208" s="148">
        <v>0</v>
      </c>
      <c r="G208" s="148">
        <v>0</v>
      </c>
      <c r="H208" s="148">
        <v>0</v>
      </c>
      <c r="I208" s="148">
        <v>0</v>
      </c>
      <c r="J208" s="148">
        <v>0</v>
      </c>
      <c r="K208" s="148">
        <v>0</v>
      </c>
      <c r="L208" s="148">
        <v>0</v>
      </c>
      <c r="M208" s="148">
        <v>0</v>
      </c>
      <c r="N208" s="10"/>
      <c r="O208" s="148">
        <v>0</v>
      </c>
      <c r="P208" s="148">
        <v>0</v>
      </c>
      <c r="Q208" s="148">
        <v>0</v>
      </c>
      <c r="R208" s="148">
        <v>0</v>
      </c>
      <c r="S208" s="148">
        <v>0</v>
      </c>
      <c r="T208" s="148">
        <v>0</v>
      </c>
      <c r="U208" s="148">
        <v>0</v>
      </c>
      <c r="V208" s="148">
        <v>0</v>
      </c>
      <c r="W208" s="148">
        <v>0</v>
      </c>
      <c r="X208" s="148">
        <v>0</v>
      </c>
      <c r="Y208" s="148">
        <v>0</v>
      </c>
      <c r="Z208" s="148">
        <v>0</v>
      </c>
      <c r="AA208" s="10"/>
      <c r="AB208" s="148">
        <v>0</v>
      </c>
      <c r="AC208" s="148">
        <v>0</v>
      </c>
      <c r="AD208" s="148">
        <v>0</v>
      </c>
      <c r="AE208" s="148">
        <v>0</v>
      </c>
      <c r="AF208" s="148">
        <v>0</v>
      </c>
      <c r="AG208" s="148">
        <v>0</v>
      </c>
      <c r="AH208" s="148">
        <v>0</v>
      </c>
      <c r="AI208" s="148">
        <v>0</v>
      </c>
      <c r="AJ208" s="148">
        <v>0</v>
      </c>
      <c r="AK208" s="148">
        <v>0</v>
      </c>
      <c r="AL208" s="148">
        <v>0</v>
      </c>
      <c r="AM208" s="148">
        <v>0</v>
      </c>
      <c r="AN208" s="10"/>
    </row>
    <row r="209" spans="1:40" ht="14.4" x14ac:dyDescent="0.3">
      <c r="A209" s="147" t="s">
        <v>858</v>
      </c>
      <c r="B209" s="148">
        <v>0</v>
      </c>
      <c r="C209" s="148">
        <v>0</v>
      </c>
      <c r="D209" s="148">
        <v>0</v>
      </c>
      <c r="E209" s="148">
        <v>0</v>
      </c>
      <c r="F209" s="148">
        <v>0</v>
      </c>
      <c r="G209" s="148">
        <v>0</v>
      </c>
      <c r="H209" s="148">
        <v>0</v>
      </c>
      <c r="I209" s="148">
        <v>0</v>
      </c>
      <c r="J209" s="148">
        <v>0</v>
      </c>
      <c r="K209" s="148">
        <v>0</v>
      </c>
      <c r="L209" s="148">
        <v>0</v>
      </c>
      <c r="M209" s="148">
        <v>0</v>
      </c>
      <c r="N209" s="10"/>
      <c r="O209" s="148">
        <v>0</v>
      </c>
      <c r="P209" s="148">
        <v>0</v>
      </c>
      <c r="Q209" s="148">
        <v>0</v>
      </c>
      <c r="R209" s="148">
        <v>0</v>
      </c>
      <c r="S209" s="148">
        <v>0</v>
      </c>
      <c r="T209" s="148">
        <v>0</v>
      </c>
      <c r="U209" s="148">
        <v>0</v>
      </c>
      <c r="V209" s="148">
        <v>0</v>
      </c>
      <c r="W209" s="148">
        <v>0</v>
      </c>
      <c r="X209" s="148">
        <v>0</v>
      </c>
      <c r="Y209" s="148">
        <v>0</v>
      </c>
      <c r="Z209" s="148">
        <v>0</v>
      </c>
      <c r="AA209" s="10"/>
      <c r="AB209" s="148">
        <v>0</v>
      </c>
      <c r="AC209" s="148">
        <v>0</v>
      </c>
      <c r="AD209" s="148">
        <v>0</v>
      </c>
      <c r="AE209" s="148">
        <v>0</v>
      </c>
      <c r="AF209" s="148">
        <v>0</v>
      </c>
      <c r="AG209" s="148">
        <v>0</v>
      </c>
      <c r="AH209" s="148">
        <v>0</v>
      </c>
      <c r="AI209" s="148">
        <v>0</v>
      </c>
      <c r="AJ209" s="148">
        <v>0</v>
      </c>
      <c r="AK209" s="148">
        <v>0</v>
      </c>
      <c r="AL209" s="148">
        <v>0</v>
      </c>
      <c r="AM209" s="148">
        <v>0</v>
      </c>
      <c r="AN209" s="10"/>
    </row>
    <row r="210" spans="1:40" ht="14.4" x14ac:dyDescent="0.3">
      <c r="A210" s="147" t="s">
        <v>859</v>
      </c>
      <c r="B210" s="148">
        <v>0</v>
      </c>
      <c r="C210" s="148">
        <v>0</v>
      </c>
      <c r="D210" s="148">
        <v>0</v>
      </c>
      <c r="E210" s="148">
        <v>0</v>
      </c>
      <c r="F210" s="148">
        <v>0</v>
      </c>
      <c r="G210" s="148">
        <v>0</v>
      </c>
      <c r="H210" s="148">
        <v>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0"/>
      <c r="O210" s="148">
        <v>0</v>
      </c>
      <c r="P210" s="148">
        <v>0</v>
      </c>
      <c r="Q210" s="148">
        <v>0</v>
      </c>
      <c r="R210" s="148">
        <v>0</v>
      </c>
      <c r="S210" s="148">
        <v>0</v>
      </c>
      <c r="T210" s="148">
        <v>0</v>
      </c>
      <c r="U210" s="148">
        <v>0</v>
      </c>
      <c r="V210" s="148">
        <v>0</v>
      </c>
      <c r="W210" s="148">
        <v>0</v>
      </c>
      <c r="X210" s="148">
        <v>0</v>
      </c>
      <c r="Y210" s="148">
        <v>0</v>
      </c>
      <c r="Z210" s="148">
        <v>0</v>
      </c>
      <c r="AA210" s="10"/>
      <c r="AB210" s="148">
        <v>0</v>
      </c>
      <c r="AC210" s="148">
        <v>0</v>
      </c>
      <c r="AD210" s="148">
        <v>0</v>
      </c>
      <c r="AE210" s="148">
        <v>0</v>
      </c>
      <c r="AF210" s="148">
        <v>0</v>
      </c>
      <c r="AG210" s="148">
        <v>0</v>
      </c>
      <c r="AH210" s="148">
        <v>0</v>
      </c>
      <c r="AI210" s="148">
        <v>0</v>
      </c>
      <c r="AJ210" s="148">
        <v>0</v>
      </c>
      <c r="AK210" s="148">
        <v>0</v>
      </c>
      <c r="AL210" s="148">
        <v>0</v>
      </c>
      <c r="AM210" s="148">
        <v>0</v>
      </c>
      <c r="AN210" s="10"/>
    </row>
    <row r="211" spans="1:40" ht="14.4" x14ac:dyDescent="0.3">
      <c r="A211" s="147" t="s">
        <v>860</v>
      </c>
      <c r="B211" s="148">
        <v>0</v>
      </c>
      <c r="C211" s="148">
        <v>0</v>
      </c>
      <c r="D211" s="148">
        <v>0</v>
      </c>
      <c r="E211" s="148">
        <v>0</v>
      </c>
      <c r="F211" s="148">
        <v>0</v>
      </c>
      <c r="G211" s="148">
        <v>0</v>
      </c>
      <c r="H211" s="148">
        <v>0</v>
      </c>
      <c r="I211" s="148">
        <v>0</v>
      </c>
      <c r="J211" s="148">
        <v>0</v>
      </c>
      <c r="K211" s="148">
        <v>0</v>
      </c>
      <c r="L211" s="148">
        <v>0</v>
      </c>
      <c r="M211" s="148">
        <v>0</v>
      </c>
      <c r="N211" s="10"/>
      <c r="O211" s="148">
        <v>0</v>
      </c>
      <c r="P211" s="148">
        <v>0</v>
      </c>
      <c r="Q211" s="148">
        <v>0</v>
      </c>
      <c r="R211" s="148">
        <v>0</v>
      </c>
      <c r="S211" s="148">
        <v>0</v>
      </c>
      <c r="T211" s="148">
        <v>0</v>
      </c>
      <c r="U211" s="148">
        <v>0</v>
      </c>
      <c r="V211" s="148">
        <v>0</v>
      </c>
      <c r="W211" s="148">
        <v>0</v>
      </c>
      <c r="X211" s="148">
        <v>0</v>
      </c>
      <c r="Y211" s="148">
        <v>0</v>
      </c>
      <c r="Z211" s="148">
        <v>0</v>
      </c>
      <c r="AA211" s="10"/>
      <c r="AB211" s="148">
        <v>0</v>
      </c>
      <c r="AC211" s="148">
        <v>0</v>
      </c>
      <c r="AD211" s="148">
        <v>0</v>
      </c>
      <c r="AE211" s="148">
        <v>0</v>
      </c>
      <c r="AF211" s="148">
        <v>0</v>
      </c>
      <c r="AG211" s="148">
        <v>0</v>
      </c>
      <c r="AH211" s="148">
        <v>0</v>
      </c>
      <c r="AI211" s="148">
        <v>0</v>
      </c>
      <c r="AJ211" s="148">
        <v>0</v>
      </c>
      <c r="AK211" s="148">
        <v>0</v>
      </c>
      <c r="AL211" s="148">
        <v>0</v>
      </c>
      <c r="AM211" s="148">
        <v>0</v>
      </c>
      <c r="AN211" s="10"/>
    </row>
    <row r="212" spans="1:40" ht="14.4" x14ac:dyDescent="0.3">
      <c r="A212" s="147" t="s">
        <v>861</v>
      </c>
      <c r="B212" s="148">
        <v>0</v>
      </c>
      <c r="C212" s="148">
        <v>0</v>
      </c>
      <c r="D212" s="148">
        <v>0</v>
      </c>
      <c r="E212" s="148">
        <v>0</v>
      </c>
      <c r="F212" s="148">
        <v>0</v>
      </c>
      <c r="G212" s="148">
        <v>0</v>
      </c>
      <c r="H212" s="148">
        <v>0</v>
      </c>
      <c r="I212" s="148">
        <v>0</v>
      </c>
      <c r="J212" s="148">
        <v>0</v>
      </c>
      <c r="K212" s="148">
        <v>0</v>
      </c>
      <c r="L212" s="148">
        <v>0</v>
      </c>
      <c r="M212" s="148">
        <v>0</v>
      </c>
      <c r="N212" s="10"/>
      <c r="O212" s="148">
        <v>0</v>
      </c>
      <c r="P212" s="148">
        <v>0</v>
      </c>
      <c r="Q212" s="148">
        <v>0</v>
      </c>
      <c r="R212" s="148">
        <v>0</v>
      </c>
      <c r="S212" s="148">
        <v>0</v>
      </c>
      <c r="T212" s="148">
        <v>0</v>
      </c>
      <c r="U212" s="148">
        <v>0</v>
      </c>
      <c r="V212" s="148">
        <v>0</v>
      </c>
      <c r="W212" s="148">
        <v>0</v>
      </c>
      <c r="X212" s="148">
        <v>0</v>
      </c>
      <c r="Y212" s="148">
        <v>0</v>
      </c>
      <c r="Z212" s="148">
        <v>0</v>
      </c>
      <c r="AA212" s="10"/>
      <c r="AB212" s="148">
        <v>0</v>
      </c>
      <c r="AC212" s="148">
        <v>0</v>
      </c>
      <c r="AD212" s="148">
        <v>0</v>
      </c>
      <c r="AE212" s="148">
        <v>0</v>
      </c>
      <c r="AF212" s="148">
        <v>0</v>
      </c>
      <c r="AG212" s="148">
        <v>0</v>
      </c>
      <c r="AH212" s="148">
        <v>0</v>
      </c>
      <c r="AI212" s="148">
        <v>0</v>
      </c>
      <c r="AJ212" s="148">
        <v>0</v>
      </c>
      <c r="AK212" s="148">
        <v>0</v>
      </c>
      <c r="AL212" s="148">
        <v>0</v>
      </c>
      <c r="AM212" s="148">
        <v>0</v>
      </c>
      <c r="AN212" s="10"/>
    </row>
    <row r="213" spans="1:40" ht="14.4" x14ac:dyDescent="0.3">
      <c r="A213" s="147" t="s">
        <v>862</v>
      </c>
      <c r="B213" s="148">
        <v>0</v>
      </c>
      <c r="C213" s="148">
        <v>0</v>
      </c>
      <c r="D213" s="148">
        <v>0</v>
      </c>
      <c r="E213" s="148">
        <v>0</v>
      </c>
      <c r="F213" s="148">
        <v>0</v>
      </c>
      <c r="G213" s="148">
        <v>0</v>
      </c>
      <c r="H213" s="148">
        <v>0</v>
      </c>
      <c r="I213" s="148">
        <v>0</v>
      </c>
      <c r="J213" s="148">
        <v>0</v>
      </c>
      <c r="K213" s="148">
        <v>0</v>
      </c>
      <c r="L213" s="148">
        <v>0</v>
      </c>
      <c r="M213" s="148">
        <v>0</v>
      </c>
      <c r="N213" s="10"/>
      <c r="O213" s="148">
        <v>0</v>
      </c>
      <c r="P213" s="148">
        <v>0</v>
      </c>
      <c r="Q213" s="148">
        <v>0</v>
      </c>
      <c r="R213" s="148">
        <v>0</v>
      </c>
      <c r="S213" s="148">
        <v>0</v>
      </c>
      <c r="T213" s="148">
        <v>0</v>
      </c>
      <c r="U213" s="148">
        <v>0</v>
      </c>
      <c r="V213" s="148">
        <v>0</v>
      </c>
      <c r="W213" s="148">
        <v>0</v>
      </c>
      <c r="X213" s="148">
        <v>0</v>
      </c>
      <c r="Y213" s="148">
        <v>0</v>
      </c>
      <c r="Z213" s="148">
        <v>0</v>
      </c>
      <c r="AA213" s="10"/>
      <c r="AB213" s="148">
        <v>0</v>
      </c>
      <c r="AC213" s="148">
        <v>0</v>
      </c>
      <c r="AD213" s="148">
        <v>0</v>
      </c>
      <c r="AE213" s="148">
        <v>0</v>
      </c>
      <c r="AF213" s="148">
        <v>0</v>
      </c>
      <c r="AG213" s="148">
        <v>0</v>
      </c>
      <c r="AH213" s="148">
        <v>0</v>
      </c>
      <c r="AI213" s="148">
        <v>0</v>
      </c>
      <c r="AJ213" s="148">
        <v>0</v>
      </c>
      <c r="AK213" s="148">
        <v>0</v>
      </c>
      <c r="AL213" s="148">
        <v>0</v>
      </c>
      <c r="AM213" s="148">
        <v>0</v>
      </c>
      <c r="AN213" s="10"/>
    </row>
    <row r="214" spans="1:40" ht="14.4" x14ac:dyDescent="0.3">
      <c r="A214" s="147" t="s">
        <v>863</v>
      </c>
      <c r="B214" s="148">
        <v>0</v>
      </c>
      <c r="C214" s="148">
        <v>0</v>
      </c>
      <c r="D214" s="148">
        <v>0</v>
      </c>
      <c r="E214" s="148">
        <v>0</v>
      </c>
      <c r="F214" s="148">
        <v>0</v>
      </c>
      <c r="G214" s="148">
        <v>0</v>
      </c>
      <c r="H214" s="148">
        <v>0</v>
      </c>
      <c r="I214" s="148">
        <v>0</v>
      </c>
      <c r="J214" s="148">
        <v>0</v>
      </c>
      <c r="K214" s="148">
        <v>0</v>
      </c>
      <c r="L214" s="148">
        <v>0</v>
      </c>
      <c r="M214" s="148">
        <v>0</v>
      </c>
      <c r="N214" s="10"/>
      <c r="O214" s="148">
        <v>0</v>
      </c>
      <c r="P214" s="148">
        <v>0</v>
      </c>
      <c r="Q214" s="148">
        <v>0</v>
      </c>
      <c r="R214" s="148">
        <v>0</v>
      </c>
      <c r="S214" s="148">
        <v>0</v>
      </c>
      <c r="T214" s="148">
        <v>0</v>
      </c>
      <c r="U214" s="148">
        <v>0</v>
      </c>
      <c r="V214" s="148">
        <v>0</v>
      </c>
      <c r="W214" s="148">
        <v>0</v>
      </c>
      <c r="X214" s="148">
        <v>0</v>
      </c>
      <c r="Y214" s="148">
        <v>0</v>
      </c>
      <c r="Z214" s="148">
        <v>0</v>
      </c>
      <c r="AA214" s="10"/>
      <c r="AB214" s="148">
        <v>0</v>
      </c>
      <c r="AC214" s="148">
        <v>0</v>
      </c>
      <c r="AD214" s="148">
        <v>0</v>
      </c>
      <c r="AE214" s="148">
        <v>0</v>
      </c>
      <c r="AF214" s="148">
        <v>0</v>
      </c>
      <c r="AG214" s="148">
        <v>0</v>
      </c>
      <c r="AH214" s="148">
        <v>0</v>
      </c>
      <c r="AI214" s="148">
        <v>0</v>
      </c>
      <c r="AJ214" s="148">
        <v>0</v>
      </c>
      <c r="AK214" s="148">
        <v>0</v>
      </c>
      <c r="AL214" s="148">
        <v>0</v>
      </c>
      <c r="AM214" s="148">
        <v>0</v>
      </c>
      <c r="AN214" s="10"/>
    </row>
    <row r="215" spans="1:40" ht="14.4" x14ac:dyDescent="0.3">
      <c r="A215" s="147" t="s">
        <v>864</v>
      </c>
      <c r="B215" s="148">
        <v>0</v>
      </c>
      <c r="C215" s="148">
        <v>0</v>
      </c>
      <c r="D215" s="148">
        <v>0</v>
      </c>
      <c r="E215" s="148">
        <v>0</v>
      </c>
      <c r="F215" s="148">
        <v>0</v>
      </c>
      <c r="G215" s="148">
        <v>0</v>
      </c>
      <c r="H215" s="148">
        <v>0</v>
      </c>
      <c r="I215" s="148">
        <v>0</v>
      </c>
      <c r="J215" s="148">
        <v>0</v>
      </c>
      <c r="K215" s="148">
        <v>0</v>
      </c>
      <c r="L215" s="148">
        <v>0</v>
      </c>
      <c r="M215" s="148">
        <v>0</v>
      </c>
      <c r="N215" s="10"/>
      <c r="O215" s="148">
        <v>0</v>
      </c>
      <c r="P215" s="148">
        <v>0</v>
      </c>
      <c r="Q215" s="148">
        <v>0</v>
      </c>
      <c r="R215" s="148">
        <v>0</v>
      </c>
      <c r="S215" s="148">
        <v>0</v>
      </c>
      <c r="T215" s="148">
        <v>0</v>
      </c>
      <c r="U215" s="148">
        <v>0</v>
      </c>
      <c r="V215" s="148">
        <v>0</v>
      </c>
      <c r="W215" s="148">
        <v>0</v>
      </c>
      <c r="X215" s="148">
        <v>0</v>
      </c>
      <c r="Y215" s="148">
        <v>0</v>
      </c>
      <c r="Z215" s="148">
        <v>0</v>
      </c>
      <c r="AA215" s="10"/>
      <c r="AB215" s="148">
        <v>0</v>
      </c>
      <c r="AC215" s="148">
        <v>0</v>
      </c>
      <c r="AD215" s="148">
        <v>0</v>
      </c>
      <c r="AE215" s="148">
        <v>0</v>
      </c>
      <c r="AF215" s="148">
        <v>0</v>
      </c>
      <c r="AG215" s="148">
        <v>0</v>
      </c>
      <c r="AH215" s="148">
        <v>0</v>
      </c>
      <c r="AI215" s="148">
        <v>0</v>
      </c>
      <c r="AJ215" s="148">
        <v>0</v>
      </c>
      <c r="AK215" s="148">
        <v>0</v>
      </c>
      <c r="AL215" s="148">
        <v>0</v>
      </c>
      <c r="AM215" s="148">
        <v>0</v>
      </c>
      <c r="AN215" s="10"/>
    </row>
    <row r="216" spans="1:40" ht="14.4" x14ac:dyDescent="0.3">
      <c r="A216" s="147" t="s">
        <v>865</v>
      </c>
      <c r="B216" s="148">
        <v>0</v>
      </c>
      <c r="C216" s="148">
        <v>0</v>
      </c>
      <c r="D216" s="148">
        <v>0</v>
      </c>
      <c r="E216" s="148">
        <v>0</v>
      </c>
      <c r="F216" s="148">
        <v>0</v>
      </c>
      <c r="G216" s="148">
        <v>0</v>
      </c>
      <c r="H216" s="148">
        <v>0</v>
      </c>
      <c r="I216" s="148">
        <v>0</v>
      </c>
      <c r="J216" s="148">
        <v>0</v>
      </c>
      <c r="K216" s="148">
        <v>0</v>
      </c>
      <c r="L216" s="148">
        <v>0</v>
      </c>
      <c r="M216" s="148">
        <v>0</v>
      </c>
      <c r="N216" s="10"/>
      <c r="O216" s="148">
        <v>0</v>
      </c>
      <c r="P216" s="148">
        <v>0</v>
      </c>
      <c r="Q216" s="148">
        <v>0</v>
      </c>
      <c r="R216" s="148">
        <v>0</v>
      </c>
      <c r="S216" s="148">
        <v>0</v>
      </c>
      <c r="T216" s="148">
        <v>0</v>
      </c>
      <c r="U216" s="148">
        <v>0</v>
      </c>
      <c r="V216" s="148">
        <v>0</v>
      </c>
      <c r="W216" s="148">
        <v>0</v>
      </c>
      <c r="X216" s="148">
        <v>0</v>
      </c>
      <c r="Y216" s="148">
        <v>0</v>
      </c>
      <c r="Z216" s="148">
        <v>0</v>
      </c>
      <c r="AA216" s="10"/>
      <c r="AB216" s="148">
        <v>0</v>
      </c>
      <c r="AC216" s="148">
        <v>0</v>
      </c>
      <c r="AD216" s="148">
        <v>0</v>
      </c>
      <c r="AE216" s="148">
        <v>0</v>
      </c>
      <c r="AF216" s="148">
        <v>0</v>
      </c>
      <c r="AG216" s="148">
        <v>0</v>
      </c>
      <c r="AH216" s="148">
        <v>0</v>
      </c>
      <c r="AI216" s="148">
        <v>0</v>
      </c>
      <c r="AJ216" s="148">
        <v>0</v>
      </c>
      <c r="AK216" s="148">
        <v>0</v>
      </c>
      <c r="AL216" s="148">
        <v>0</v>
      </c>
      <c r="AM216" s="148">
        <v>0</v>
      </c>
      <c r="AN216" s="10"/>
    </row>
    <row r="217" spans="1:40" ht="14.4" x14ac:dyDescent="0.3">
      <c r="A217" s="147" t="s">
        <v>866</v>
      </c>
      <c r="B217" s="148">
        <v>0</v>
      </c>
      <c r="C217" s="148">
        <v>0</v>
      </c>
      <c r="D217" s="148">
        <v>0</v>
      </c>
      <c r="E217" s="148">
        <v>0</v>
      </c>
      <c r="F217" s="148">
        <v>0</v>
      </c>
      <c r="G217" s="148">
        <v>0</v>
      </c>
      <c r="H217" s="148">
        <v>0</v>
      </c>
      <c r="I217" s="148">
        <v>0</v>
      </c>
      <c r="J217" s="148">
        <v>0</v>
      </c>
      <c r="K217" s="148">
        <v>0</v>
      </c>
      <c r="L217" s="148">
        <v>0</v>
      </c>
      <c r="M217" s="148">
        <v>0</v>
      </c>
      <c r="N217" s="10"/>
      <c r="O217" s="148">
        <v>0</v>
      </c>
      <c r="P217" s="148">
        <v>0</v>
      </c>
      <c r="Q217" s="148">
        <v>0</v>
      </c>
      <c r="R217" s="148">
        <v>0</v>
      </c>
      <c r="S217" s="148">
        <v>0</v>
      </c>
      <c r="T217" s="148">
        <v>0</v>
      </c>
      <c r="U217" s="148">
        <v>0</v>
      </c>
      <c r="V217" s="148">
        <v>0</v>
      </c>
      <c r="W217" s="148">
        <v>0</v>
      </c>
      <c r="X217" s="148">
        <v>0</v>
      </c>
      <c r="Y217" s="148">
        <v>0</v>
      </c>
      <c r="Z217" s="148">
        <v>0</v>
      </c>
      <c r="AA217" s="10"/>
      <c r="AB217" s="148">
        <v>0</v>
      </c>
      <c r="AC217" s="148">
        <v>0</v>
      </c>
      <c r="AD217" s="148">
        <v>0</v>
      </c>
      <c r="AE217" s="148">
        <v>0</v>
      </c>
      <c r="AF217" s="148">
        <v>0</v>
      </c>
      <c r="AG217" s="148">
        <v>0</v>
      </c>
      <c r="AH217" s="148">
        <v>0</v>
      </c>
      <c r="AI217" s="148">
        <v>0</v>
      </c>
      <c r="AJ217" s="148">
        <v>0</v>
      </c>
      <c r="AK217" s="148">
        <v>0</v>
      </c>
      <c r="AL217" s="148">
        <v>0</v>
      </c>
      <c r="AM217" s="148">
        <v>0</v>
      </c>
      <c r="AN217" s="10"/>
    </row>
    <row r="218" spans="1:40" ht="14.4" x14ac:dyDescent="0.3">
      <c r="A218" s="147" t="s">
        <v>867</v>
      </c>
      <c r="B218" s="148">
        <v>0</v>
      </c>
      <c r="C218" s="148">
        <v>0</v>
      </c>
      <c r="D218" s="148">
        <v>0</v>
      </c>
      <c r="E218" s="148">
        <v>0</v>
      </c>
      <c r="F218" s="148">
        <v>0</v>
      </c>
      <c r="G218" s="148">
        <v>0</v>
      </c>
      <c r="H218" s="148">
        <v>0</v>
      </c>
      <c r="I218" s="148">
        <v>0</v>
      </c>
      <c r="J218" s="148">
        <v>0</v>
      </c>
      <c r="K218" s="148">
        <v>0</v>
      </c>
      <c r="L218" s="148">
        <v>0</v>
      </c>
      <c r="M218" s="148">
        <v>0</v>
      </c>
      <c r="N218" s="10"/>
      <c r="O218" s="148">
        <v>0</v>
      </c>
      <c r="P218" s="148">
        <v>0</v>
      </c>
      <c r="Q218" s="148">
        <v>0</v>
      </c>
      <c r="R218" s="148">
        <v>0</v>
      </c>
      <c r="S218" s="148">
        <v>0</v>
      </c>
      <c r="T218" s="148">
        <v>0</v>
      </c>
      <c r="U218" s="148">
        <v>0</v>
      </c>
      <c r="V218" s="148">
        <v>0</v>
      </c>
      <c r="W218" s="148">
        <v>0</v>
      </c>
      <c r="X218" s="148">
        <v>0</v>
      </c>
      <c r="Y218" s="148">
        <v>0</v>
      </c>
      <c r="Z218" s="148">
        <v>0</v>
      </c>
      <c r="AA218" s="10"/>
      <c r="AB218" s="148">
        <v>0</v>
      </c>
      <c r="AC218" s="148">
        <v>0</v>
      </c>
      <c r="AD218" s="148">
        <v>0</v>
      </c>
      <c r="AE218" s="148">
        <v>0</v>
      </c>
      <c r="AF218" s="148">
        <v>0</v>
      </c>
      <c r="AG218" s="148">
        <v>0</v>
      </c>
      <c r="AH218" s="148">
        <v>0</v>
      </c>
      <c r="AI218" s="148">
        <v>0</v>
      </c>
      <c r="AJ218" s="148">
        <v>0</v>
      </c>
      <c r="AK218" s="148">
        <v>0</v>
      </c>
      <c r="AL218" s="148">
        <v>0</v>
      </c>
      <c r="AM218" s="148">
        <v>0</v>
      </c>
      <c r="AN218" s="10"/>
    </row>
    <row r="219" spans="1:40" ht="14.4" x14ac:dyDescent="0.3">
      <c r="A219" s="147" t="s">
        <v>868</v>
      </c>
      <c r="B219" s="148">
        <v>0</v>
      </c>
      <c r="C219" s="148">
        <v>0</v>
      </c>
      <c r="D219" s="148">
        <v>0</v>
      </c>
      <c r="E219" s="148">
        <v>0</v>
      </c>
      <c r="F219" s="148">
        <v>0</v>
      </c>
      <c r="G219" s="148">
        <v>0</v>
      </c>
      <c r="H219" s="148">
        <v>0</v>
      </c>
      <c r="I219" s="148">
        <v>0</v>
      </c>
      <c r="J219" s="148">
        <v>0</v>
      </c>
      <c r="K219" s="148">
        <v>0</v>
      </c>
      <c r="L219" s="148">
        <v>0</v>
      </c>
      <c r="M219" s="148">
        <v>0</v>
      </c>
      <c r="N219" s="10"/>
      <c r="O219" s="148">
        <v>0</v>
      </c>
      <c r="P219" s="148">
        <v>0</v>
      </c>
      <c r="Q219" s="148">
        <v>0</v>
      </c>
      <c r="R219" s="148">
        <v>0</v>
      </c>
      <c r="S219" s="148">
        <v>0</v>
      </c>
      <c r="T219" s="148">
        <v>0</v>
      </c>
      <c r="U219" s="148">
        <v>0</v>
      </c>
      <c r="V219" s="148">
        <v>0</v>
      </c>
      <c r="W219" s="148">
        <v>0</v>
      </c>
      <c r="X219" s="148">
        <v>0</v>
      </c>
      <c r="Y219" s="148">
        <v>0</v>
      </c>
      <c r="Z219" s="148">
        <v>0</v>
      </c>
      <c r="AA219" s="10"/>
      <c r="AB219" s="148">
        <v>0</v>
      </c>
      <c r="AC219" s="148">
        <v>0</v>
      </c>
      <c r="AD219" s="148">
        <v>0</v>
      </c>
      <c r="AE219" s="148">
        <v>0</v>
      </c>
      <c r="AF219" s="148">
        <v>0</v>
      </c>
      <c r="AG219" s="148">
        <v>0</v>
      </c>
      <c r="AH219" s="148">
        <v>0</v>
      </c>
      <c r="AI219" s="148">
        <v>0</v>
      </c>
      <c r="AJ219" s="148">
        <v>0</v>
      </c>
      <c r="AK219" s="148">
        <v>0</v>
      </c>
      <c r="AL219" s="148">
        <v>0</v>
      </c>
      <c r="AM219" s="148">
        <v>0</v>
      </c>
      <c r="AN219" s="10"/>
    </row>
    <row r="220" spans="1:40" ht="14.4" x14ac:dyDescent="0.3">
      <c r="A220" s="147" t="s">
        <v>869</v>
      </c>
      <c r="B220" s="148">
        <v>1</v>
      </c>
      <c r="C220" s="148">
        <v>2</v>
      </c>
      <c r="D220" s="148">
        <v>3</v>
      </c>
      <c r="E220" s="148">
        <v>4</v>
      </c>
      <c r="F220" s="148">
        <v>5</v>
      </c>
      <c r="G220" s="148">
        <v>6</v>
      </c>
      <c r="H220" s="148">
        <v>7</v>
      </c>
      <c r="I220" s="148">
        <v>8</v>
      </c>
      <c r="J220" s="148">
        <v>9</v>
      </c>
      <c r="K220" s="148">
        <v>10</v>
      </c>
      <c r="L220" s="148">
        <v>11</v>
      </c>
      <c r="M220" s="148">
        <v>12</v>
      </c>
      <c r="N220" s="10"/>
      <c r="O220" s="148">
        <v>1</v>
      </c>
      <c r="P220" s="148">
        <v>2</v>
      </c>
      <c r="Q220" s="148">
        <v>3</v>
      </c>
      <c r="R220" s="148">
        <v>4</v>
      </c>
      <c r="S220" s="148">
        <v>5</v>
      </c>
      <c r="T220" s="148">
        <v>6</v>
      </c>
      <c r="U220" s="148">
        <v>7</v>
      </c>
      <c r="V220" s="148">
        <v>8</v>
      </c>
      <c r="W220" s="148">
        <v>9</v>
      </c>
      <c r="X220" s="148">
        <v>10</v>
      </c>
      <c r="Y220" s="148">
        <v>11</v>
      </c>
      <c r="Z220" s="148">
        <v>12</v>
      </c>
      <c r="AA220" s="10"/>
      <c r="AB220" s="148">
        <v>1</v>
      </c>
      <c r="AC220" s="148">
        <v>2</v>
      </c>
      <c r="AD220" s="148">
        <v>3</v>
      </c>
      <c r="AE220" s="148">
        <v>4</v>
      </c>
      <c r="AF220" s="148">
        <v>5</v>
      </c>
      <c r="AG220" s="148">
        <v>6</v>
      </c>
      <c r="AH220" s="148">
        <v>7</v>
      </c>
      <c r="AI220" s="148">
        <v>8</v>
      </c>
      <c r="AJ220" s="148">
        <v>9</v>
      </c>
      <c r="AK220" s="148">
        <v>10</v>
      </c>
      <c r="AL220" s="148">
        <v>11</v>
      </c>
      <c r="AM220" s="148">
        <v>12</v>
      </c>
      <c r="AN220" s="10"/>
    </row>
    <row r="221" spans="1:40" ht="14.4" x14ac:dyDescent="0.3">
      <c r="A221" s="147" t="s">
        <v>870</v>
      </c>
      <c r="B221" s="148">
        <v>0</v>
      </c>
      <c r="C221" s="148">
        <v>0</v>
      </c>
      <c r="D221" s="148">
        <v>0</v>
      </c>
      <c r="E221" s="148">
        <v>0</v>
      </c>
      <c r="F221" s="148">
        <v>0</v>
      </c>
      <c r="G221" s="148">
        <v>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0"/>
      <c r="O221" s="148">
        <v>0</v>
      </c>
      <c r="P221" s="148">
        <v>0</v>
      </c>
      <c r="Q221" s="148">
        <v>0</v>
      </c>
      <c r="R221" s="148">
        <v>0</v>
      </c>
      <c r="S221" s="148">
        <v>0</v>
      </c>
      <c r="T221" s="148">
        <v>0</v>
      </c>
      <c r="U221" s="148">
        <v>0</v>
      </c>
      <c r="V221" s="148">
        <v>0</v>
      </c>
      <c r="W221" s="148">
        <v>0</v>
      </c>
      <c r="X221" s="148">
        <v>0</v>
      </c>
      <c r="Y221" s="148">
        <v>0</v>
      </c>
      <c r="Z221" s="148">
        <v>0</v>
      </c>
      <c r="AA221" s="10"/>
      <c r="AB221" s="148">
        <v>0</v>
      </c>
      <c r="AC221" s="148">
        <v>0</v>
      </c>
      <c r="AD221" s="148">
        <v>0</v>
      </c>
      <c r="AE221" s="148">
        <v>0</v>
      </c>
      <c r="AF221" s="148">
        <v>0</v>
      </c>
      <c r="AG221" s="148">
        <v>0</v>
      </c>
      <c r="AH221" s="148">
        <v>0</v>
      </c>
      <c r="AI221" s="148">
        <v>0</v>
      </c>
      <c r="AJ221" s="148">
        <v>0</v>
      </c>
      <c r="AK221" s="148">
        <v>0</v>
      </c>
      <c r="AL221" s="148">
        <v>0</v>
      </c>
      <c r="AM221" s="148">
        <v>0</v>
      </c>
      <c r="AN221" s="10"/>
    </row>
    <row r="222" spans="1:40" ht="14.4" x14ac:dyDescent="0.3">
      <c r="A222" s="147" t="s">
        <v>871</v>
      </c>
      <c r="B222" s="148">
        <v>0</v>
      </c>
      <c r="C222" s="148">
        <v>0</v>
      </c>
      <c r="D222" s="148">
        <v>0</v>
      </c>
      <c r="E222" s="148">
        <v>0</v>
      </c>
      <c r="F222" s="148">
        <v>0</v>
      </c>
      <c r="G222" s="148">
        <v>0</v>
      </c>
      <c r="H222" s="148">
        <v>0</v>
      </c>
      <c r="I222" s="148">
        <v>0</v>
      </c>
      <c r="J222" s="148">
        <v>0</v>
      </c>
      <c r="K222" s="148">
        <v>0</v>
      </c>
      <c r="L222" s="148">
        <v>0</v>
      </c>
      <c r="M222" s="148">
        <v>0</v>
      </c>
      <c r="N222" s="10"/>
      <c r="O222" s="148">
        <v>0</v>
      </c>
      <c r="P222" s="148">
        <v>0</v>
      </c>
      <c r="Q222" s="148">
        <v>0</v>
      </c>
      <c r="R222" s="148">
        <v>0</v>
      </c>
      <c r="S222" s="148">
        <v>0</v>
      </c>
      <c r="T222" s="148">
        <v>0</v>
      </c>
      <c r="U222" s="148">
        <v>0</v>
      </c>
      <c r="V222" s="148">
        <v>0</v>
      </c>
      <c r="W222" s="148">
        <v>0</v>
      </c>
      <c r="X222" s="148">
        <v>0</v>
      </c>
      <c r="Y222" s="148">
        <v>0</v>
      </c>
      <c r="Z222" s="148">
        <v>0</v>
      </c>
      <c r="AA222" s="10"/>
      <c r="AB222" s="148">
        <v>0</v>
      </c>
      <c r="AC222" s="148">
        <v>0</v>
      </c>
      <c r="AD222" s="148">
        <v>0</v>
      </c>
      <c r="AE222" s="148">
        <v>0</v>
      </c>
      <c r="AF222" s="148">
        <v>0</v>
      </c>
      <c r="AG222" s="148">
        <v>0</v>
      </c>
      <c r="AH222" s="148">
        <v>0</v>
      </c>
      <c r="AI222" s="148">
        <v>0</v>
      </c>
      <c r="AJ222" s="148">
        <v>0</v>
      </c>
      <c r="AK222" s="148">
        <v>0</v>
      </c>
      <c r="AL222" s="148">
        <v>0</v>
      </c>
      <c r="AM222" s="148">
        <v>0</v>
      </c>
      <c r="AN222" s="10"/>
    </row>
    <row r="223" spans="1:40" ht="14.4" x14ac:dyDescent="0.3">
      <c r="A223" s="147" t="s">
        <v>872</v>
      </c>
      <c r="B223" s="148">
        <v>0</v>
      </c>
      <c r="C223" s="148">
        <v>0</v>
      </c>
      <c r="D223" s="148">
        <v>0</v>
      </c>
      <c r="E223" s="148">
        <v>0</v>
      </c>
      <c r="F223" s="148">
        <v>0</v>
      </c>
      <c r="G223" s="148">
        <v>0</v>
      </c>
      <c r="H223" s="148">
        <v>0</v>
      </c>
      <c r="I223" s="148">
        <v>0</v>
      </c>
      <c r="J223" s="148">
        <v>0</v>
      </c>
      <c r="K223" s="148">
        <v>0</v>
      </c>
      <c r="L223" s="148">
        <v>0</v>
      </c>
      <c r="M223" s="148">
        <v>0</v>
      </c>
      <c r="N223" s="10"/>
      <c r="O223" s="148">
        <v>0</v>
      </c>
      <c r="P223" s="148">
        <v>0</v>
      </c>
      <c r="Q223" s="148">
        <v>0</v>
      </c>
      <c r="R223" s="148">
        <v>0</v>
      </c>
      <c r="S223" s="148">
        <v>0</v>
      </c>
      <c r="T223" s="148">
        <v>0</v>
      </c>
      <c r="U223" s="148">
        <v>0</v>
      </c>
      <c r="V223" s="148">
        <v>0</v>
      </c>
      <c r="W223" s="148">
        <v>0</v>
      </c>
      <c r="X223" s="148">
        <v>0</v>
      </c>
      <c r="Y223" s="148">
        <v>0</v>
      </c>
      <c r="Z223" s="148">
        <v>0</v>
      </c>
      <c r="AA223" s="10"/>
      <c r="AB223" s="148">
        <v>0</v>
      </c>
      <c r="AC223" s="148">
        <v>0</v>
      </c>
      <c r="AD223" s="148">
        <v>0</v>
      </c>
      <c r="AE223" s="148">
        <v>0</v>
      </c>
      <c r="AF223" s="148">
        <v>0</v>
      </c>
      <c r="AG223" s="148">
        <v>0</v>
      </c>
      <c r="AH223" s="148">
        <v>0</v>
      </c>
      <c r="AI223" s="148">
        <v>0</v>
      </c>
      <c r="AJ223" s="148">
        <v>0</v>
      </c>
      <c r="AK223" s="148">
        <v>0</v>
      </c>
      <c r="AL223" s="148">
        <v>0</v>
      </c>
      <c r="AM223" s="148">
        <v>0</v>
      </c>
      <c r="AN223" s="10"/>
    </row>
    <row r="224" spans="1:40" ht="14.4" x14ac:dyDescent="0.3">
      <c r="A224" s="147" t="s">
        <v>873</v>
      </c>
      <c r="B224" s="148">
        <v>0</v>
      </c>
      <c r="C224" s="148">
        <v>0</v>
      </c>
      <c r="D224" s="148">
        <v>0</v>
      </c>
      <c r="E224" s="148">
        <v>0</v>
      </c>
      <c r="F224" s="148">
        <v>0</v>
      </c>
      <c r="G224" s="148">
        <v>0</v>
      </c>
      <c r="H224" s="148">
        <v>0</v>
      </c>
      <c r="I224" s="148">
        <v>0</v>
      </c>
      <c r="J224" s="148">
        <v>0</v>
      </c>
      <c r="K224" s="148">
        <v>0</v>
      </c>
      <c r="L224" s="148">
        <v>0</v>
      </c>
      <c r="M224" s="148">
        <v>0</v>
      </c>
      <c r="N224" s="10"/>
      <c r="O224" s="148">
        <v>0</v>
      </c>
      <c r="P224" s="148">
        <v>0</v>
      </c>
      <c r="Q224" s="148">
        <v>0</v>
      </c>
      <c r="R224" s="148">
        <v>0</v>
      </c>
      <c r="S224" s="148">
        <v>0</v>
      </c>
      <c r="T224" s="148">
        <v>0</v>
      </c>
      <c r="U224" s="148">
        <v>0</v>
      </c>
      <c r="V224" s="148">
        <v>0</v>
      </c>
      <c r="W224" s="148">
        <v>0</v>
      </c>
      <c r="X224" s="148">
        <v>0</v>
      </c>
      <c r="Y224" s="148">
        <v>0</v>
      </c>
      <c r="Z224" s="148">
        <v>0</v>
      </c>
      <c r="AA224" s="10"/>
      <c r="AB224" s="148">
        <v>0</v>
      </c>
      <c r="AC224" s="148">
        <v>0</v>
      </c>
      <c r="AD224" s="148">
        <v>0</v>
      </c>
      <c r="AE224" s="148">
        <v>0</v>
      </c>
      <c r="AF224" s="148">
        <v>0</v>
      </c>
      <c r="AG224" s="148">
        <v>0</v>
      </c>
      <c r="AH224" s="148">
        <v>0</v>
      </c>
      <c r="AI224" s="148">
        <v>0</v>
      </c>
      <c r="AJ224" s="148">
        <v>0</v>
      </c>
      <c r="AK224" s="148">
        <v>0</v>
      </c>
      <c r="AL224" s="148">
        <v>0</v>
      </c>
      <c r="AM224" s="148">
        <v>0</v>
      </c>
      <c r="AN224" s="10"/>
    </row>
    <row r="225" spans="1:40" ht="14.4" x14ac:dyDescent="0.3">
      <c r="A225" s="147" t="s">
        <v>874</v>
      </c>
      <c r="B225" s="148">
        <v>0</v>
      </c>
      <c r="C225" s="148">
        <v>0</v>
      </c>
      <c r="D225" s="148">
        <v>0</v>
      </c>
      <c r="E225" s="148">
        <v>8159.6989999999996</v>
      </c>
      <c r="F225" s="148">
        <v>0</v>
      </c>
      <c r="G225" s="148">
        <v>-1132.0809999999999</v>
      </c>
      <c r="H225" s="148">
        <v>0</v>
      </c>
      <c r="I225" s="148">
        <v>0</v>
      </c>
      <c r="J225" s="148">
        <v>0</v>
      </c>
      <c r="K225" s="148">
        <v>0</v>
      </c>
      <c r="L225" s="148">
        <v>0</v>
      </c>
      <c r="M225" s="148">
        <v>0</v>
      </c>
      <c r="N225" s="10"/>
      <c r="O225" s="148">
        <v>0</v>
      </c>
      <c r="P225" s="148">
        <v>0</v>
      </c>
      <c r="Q225" s="148">
        <v>0</v>
      </c>
      <c r="R225" s="148">
        <v>0</v>
      </c>
      <c r="S225" s="148">
        <v>0</v>
      </c>
      <c r="T225" s="148">
        <v>0</v>
      </c>
      <c r="U225" s="148">
        <v>0</v>
      </c>
      <c r="V225" s="148">
        <v>0</v>
      </c>
      <c r="W225" s="148">
        <v>0</v>
      </c>
      <c r="X225" s="148">
        <v>0</v>
      </c>
      <c r="Y225" s="148">
        <v>0</v>
      </c>
      <c r="Z225" s="148">
        <v>0</v>
      </c>
      <c r="AA225" s="10"/>
      <c r="AB225" s="148">
        <v>0</v>
      </c>
      <c r="AC225" s="148">
        <v>0</v>
      </c>
      <c r="AD225" s="148">
        <v>0</v>
      </c>
      <c r="AE225" s="148">
        <v>16694.634699304901</v>
      </c>
      <c r="AF225" s="148">
        <v>0</v>
      </c>
      <c r="AG225" s="148">
        <v>5380.1772015651204</v>
      </c>
      <c r="AH225" s="148">
        <v>0</v>
      </c>
      <c r="AI225" s="148">
        <v>0</v>
      </c>
      <c r="AJ225" s="148">
        <v>7609.1242807819399</v>
      </c>
      <c r="AK225" s="148">
        <v>0</v>
      </c>
      <c r="AL225" s="148">
        <v>0</v>
      </c>
      <c r="AM225" s="148">
        <v>6619.8909529012599</v>
      </c>
      <c r="AN225" s="10"/>
    </row>
    <row r="226" spans="1:40" ht="14.4" x14ac:dyDescent="0.3">
      <c r="A226" s="147" t="s">
        <v>875</v>
      </c>
      <c r="B226" s="148">
        <v>0</v>
      </c>
      <c r="C226" s="148">
        <v>0</v>
      </c>
      <c r="D226" s="148">
        <v>0</v>
      </c>
      <c r="E226" s="148">
        <v>8159.6989999999996</v>
      </c>
      <c r="F226" s="148">
        <v>8159.6989999999996</v>
      </c>
      <c r="G226" s="148">
        <v>7027.6179999999904</v>
      </c>
      <c r="H226" s="148">
        <v>7027.6179999999904</v>
      </c>
      <c r="I226" s="148">
        <v>7027.6179999999904</v>
      </c>
      <c r="J226" s="148">
        <v>7027.6179999999904</v>
      </c>
      <c r="K226" s="148">
        <v>7027.6179999999904</v>
      </c>
      <c r="L226" s="148">
        <v>7027.6179999999904</v>
      </c>
      <c r="M226" s="148">
        <v>7027.6179999999904</v>
      </c>
      <c r="N226" s="10"/>
      <c r="O226" s="148">
        <v>0</v>
      </c>
      <c r="P226" s="148">
        <v>0</v>
      </c>
      <c r="Q226" s="148">
        <v>0</v>
      </c>
      <c r="R226" s="148">
        <v>0</v>
      </c>
      <c r="S226" s="148">
        <v>0</v>
      </c>
      <c r="T226" s="148">
        <v>0</v>
      </c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>
        <v>0</v>
      </c>
      <c r="AA226" s="10"/>
      <c r="AB226" s="148">
        <v>0</v>
      </c>
      <c r="AC226" s="148">
        <v>0</v>
      </c>
      <c r="AD226" s="148">
        <v>0</v>
      </c>
      <c r="AE226" s="148">
        <v>16694.634699304901</v>
      </c>
      <c r="AF226" s="148">
        <v>16694.634699304901</v>
      </c>
      <c r="AG226" s="148">
        <v>22074.811900870001</v>
      </c>
      <c r="AH226" s="148">
        <v>22074.811900870001</v>
      </c>
      <c r="AI226" s="148">
        <v>22074.811900870001</v>
      </c>
      <c r="AJ226" s="148">
        <v>29683.936181652</v>
      </c>
      <c r="AK226" s="148">
        <v>29683.936181652</v>
      </c>
      <c r="AL226" s="148">
        <v>29683.936181652</v>
      </c>
      <c r="AM226" s="148">
        <v>36303.827134553198</v>
      </c>
      <c r="AN226" s="10"/>
    </row>
    <row r="227" spans="1:40" ht="14.4" x14ac:dyDescent="0.3">
      <c r="A227" s="146" t="s">
        <v>876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4.4" x14ac:dyDescent="0.3">
      <c r="A228" s="147" t="s">
        <v>877</v>
      </c>
      <c r="B228" s="148">
        <v>0</v>
      </c>
      <c r="C228" s="148">
        <v>0</v>
      </c>
      <c r="D228" s="148">
        <v>0</v>
      </c>
      <c r="E228" s="148">
        <v>0</v>
      </c>
      <c r="F228" s="148">
        <v>0</v>
      </c>
      <c r="G228" s="148">
        <v>0</v>
      </c>
      <c r="H228" s="148">
        <v>0</v>
      </c>
      <c r="I228" s="148">
        <v>0</v>
      </c>
      <c r="J228" s="148">
        <v>-7027.6180000000004</v>
      </c>
      <c r="K228" s="148">
        <v>0</v>
      </c>
      <c r="L228" s="148">
        <v>0</v>
      </c>
      <c r="M228" s="148">
        <v>0</v>
      </c>
      <c r="N228" s="10"/>
      <c r="O228" s="148">
        <v>0</v>
      </c>
      <c r="P228" s="148">
        <v>0</v>
      </c>
      <c r="Q228" s="148">
        <v>0</v>
      </c>
      <c r="R228" s="148">
        <v>0</v>
      </c>
      <c r="S228" s="148">
        <v>0</v>
      </c>
      <c r="T228" s="148">
        <v>0</v>
      </c>
      <c r="U228" s="148">
        <v>0</v>
      </c>
      <c r="V228" s="148">
        <v>0</v>
      </c>
      <c r="W228" s="148">
        <v>0</v>
      </c>
      <c r="X228" s="148">
        <v>0</v>
      </c>
      <c r="Y228" s="148">
        <v>0</v>
      </c>
      <c r="Z228" s="148">
        <v>0</v>
      </c>
      <c r="AA228" s="10"/>
      <c r="AB228" s="148">
        <v>0</v>
      </c>
      <c r="AC228" s="148">
        <v>0</v>
      </c>
      <c r="AD228" s="148">
        <v>0</v>
      </c>
      <c r="AE228" s="148">
        <v>0</v>
      </c>
      <c r="AF228" s="148">
        <v>0</v>
      </c>
      <c r="AG228" s="148">
        <v>0</v>
      </c>
      <c r="AH228" s="148">
        <v>0</v>
      </c>
      <c r="AI228" s="148">
        <v>0</v>
      </c>
      <c r="AJ228" s="148">
        <v>0</v>
      </c>
      <c r="AK228" s="148">
        <v>0</v>
      </c>
      <c r="AL228" s="148">
        <v>0</v>
      </c>
      <c r="AM228" s="148">
        <v>0</v>
      </c>
      <c r="AN228" s="10"/>
    </row>
    <row r="229" spans="1:40" ht="14.4" x14ac:dyDescent="0.3">
      <c r="A229" s="147" t="s">
        <v>878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4.4" x14ac:dyDescent="0.3">
      <c r="A230" s="147" t="s">
        <v>879</v>
      </c>
      <c r="B230" s="148">
        <v>0</v>
      </c>
      <c r="C230" s="148">
        <v>0</v>
      </c>
      <c r="D230" s="148">
        <v>0</v>
      </c>
      <c r="E230" s="148">
        <v>0</v>
      </c>
      <c r="F230" s="148">
        <v>0</v>
      </c>
      <c r="G230" s="148">
        <v>0</v>
      </c>
      <c r="H230" s="148">
        <v>0</v>
      </c>
      <c r="I230" s="148">
        <v>0</v>
      </c>
      <c r="J230" s="148">
        <v>0</v>
      </c>
      <c r="K230" s="148">
        <v>0</v>
      </c>
      <c r="L230" s="148">
        <v>0</v>
      </c>
      <c r="M230" s="148">
        <v>0</v>
      </c>
      <c r="N230" s="10"/>
      <c r="O230" s="148">
        <v>0</v>
      </c>
      <c r="P230" s="148">
        <v>0</v>
      </c>
      <c r="Q230" s="148">
        <v>0</v>
      </c>
      <c r="R230" s="148">
        <v>0</v>
      </c>
      <c r="S230" s="148">
        <v>0</v>
      </c>
      <c r="T230" s="148">
        <v>0</v>
      </c>
      <c r="U230" s="148">
        <v>0</v>
      </c>
      <c r="V230" s="148">
        <v>0</v>
      </c>
      <c r="W230" s="148">
        <v>0</v>
      </c>
      <c r="X230" s="148">
        <v>0</v>
      </c>
      <c r="Y230" s="148">
        <v>0</v>
      </c>
      <c r="Z230" s="148">
        <v>0</v>
      </c>
      <c r="AA230" s="10"/>
      <c r="AB230" s="148">
        <v>0</v>
      </c>
      <c r="AC230" s="148">
        <v>0</v>
      </c>
      <c r="AD230" s="148">
        <v>0</v>
      </c>
      <c r="AE230" s="148">
        <v>0</v>
      </c>
      <c r="AF230" s="148">
        <v>0</v>
      </c>
      <c r="AG230" s="148">
        <v>0</v>
      </c>
      <c r="AH230" s="148">
        <v>0</v>
      </c>
      <c r="AI230" s="148">
        <v>0</v>
      </c>
      <c r="AJ230" s="148">
        <v>0</v>
      </c>
      <c r="AK230" s="148">
        <v>0</v>
      </c>
      <c r="AL230" s="148">
        <v>0</v>
      </c>
      <c r="AM230" s="148">
        <v>0</v>
      </c>
      <c r="AN230" s="10"/>
    </row>
    <row r="231" spans="1:40" ht="14.4" x14ac:dyDescent="0.3">
      <c r="A231" s="147" t="s">
        <v>880</v>
      </c>
      <c r="B231" s="148">
        <v>0</v>
      </c>
      <c r="C231" s="148">
        <v>0</v>
      </c>
      <c r="D231" s="148">
        <v>0</v>
      </c>
      <c r="E231" s="148">
        <v>0</v>
      </c>
      <c r="F231" s="148">
        <v>0</v>
      </c>
      <c r="G231" s="148">
        <v>0</v>
      </c>
      <c r="H231" s="148">
        <v>0</v>
      </c>
      <c r="I231" s="148">
        <v>0</v>
      </c>
      <c r="J231" s="148">
        <v>0</v>
      </c>
      <c r="K231" s="148">
        <v>0</v>
      </c>
      <c r="L231" s="148">
        <v>0</v>
      </c>
      <c r="M231" s="148">
        <v>1</v>
      </c>
      <c r="N231" s="10"/>
      <c r="O231" s="148">
        <v>0</v>
      </c>
      <c r="P231" s="148">
        <v>0</v>
      </c>
      <c r="Q231" s="148">
        <v>0</v>
      </c>
      <c r="R231" s="148">
        <v>0</v>
      </c>
      <c r="S231" s="148">
        <v>0</v>
      </c>
      <c r="T231" s="148">
        <v>0</v>
      </c>
      <c r="U231" s="148">
        <v>0</v>
      </c>
      <c r="V231" s="148">
        <v>0</v>
      </c>
      <c r="W231" s="148">
        <v>0</v>
      </c>
      <c r="X231" s="148">
        <v>0</v>
      </c>
      <c r="Y231" s="148">
        <v>0</v>
      </c>
      <c r="Z231" s="148">
        <v>1</v>
      </c>
      <c r="AA231" s="10"/>
      <c r="AB231" s="148">
        <v>0</v>
      </c>
      <c r="AC231" s="148">
        <v>0</v>
      </c>
      <c r="AD231" s="148">
        <v>0</v>
      </c>
      <c r="AE231" s="148">
        <v>0</v>
      </c>
      <c r="AF231" s="148">
        <v>0</v>
      </c>
      <c r="AG231" s="148">
        <v>0</v>
      </c>
      <c r="AH231" s="148">
        <v>0</v>
      </c>
      <c r="AI231" s="148">
        <v>0</v>
      </c>
      <c r="AJ231" s="148">
        <v>0</v>
      </c>
      <c r="AK231" s="148">
        <v>0</v>
      </c>
      <c r="AL231" s="148">
        <v>0</v>
      </c>
      <c r="AM231" s="148">
        <v>1</v>
      </c>
      <c r="AN231" s="10"/>
    </row>
    <row r="232" spans="1:40" ht="14.4" x14ac:dyDescent="0.3">
      <c r="A232" s="147" t="s">
        <v>881</v>
      </c>
      <c r="B232" s="148">
        <v>0</v>
      </c>
      <c r="C232" s="148">
        <v>0</v>
      </c>
      <c r="D232" s="148">
        <v>0</v>
      </c>
      <c r="E232" s="148">
        <v>0</v>
      </c>
      <c r="F232" s="148">
        <v>0</v>
      </c>
      <c r="G232" s="148">
        <v>0</v>
      </c>
      <c r="H232" s="148">
        <v>0</v>
      </c>
      <c r="I232" s="148">
        <v>0</v>
      </c>
      <c r="J232" s="148">
        <v>0</v>
      </c>
      <c r="K232" s="148">
        <v>0</v>
      </c>
      <c r="L232" s="148">
        <v>0</v>
      </c>
      <c r="M232" s="148">
        <v>-7027.6179999864598</v>
      </c>
      <c r="N232" s="10"/>
      <c r="O232" s="148">
        <v>0</v>
      </c>
      <c r="P232" s="148">
        <v>0</v>
      </c>
      <c r="Q232" s="148">
        <v>0</v>
      </c>
      <c r="R232" s="148">
        <v>0</v>
      </c>
      <c r="S232" s="148">
        <v>0</v>
      </c>
      <c r="T232" s="148">
        <v>0</v>
      </c>
      <c r="U232" s="148">
        <v>0</v>
      </c>
      <c r="V232" s="148">
        <v>0</v>
      </c>
      <c r="W232" s="148">
        <v>0</v>
      </c>
      <c r="X232" s="148">
        <v>0</v>
      </c>
      <c r="Y232" s="148">
        <v>0</v>
      </c>
      <c r="Z232" s="148">
        <v>-8.3685381468967503E-7</v>
      </c>
      <c r="AA232" s="10"/>
      <c r="AB232" s="148">
        <v>0</v>
      </c>
      <c r="AC232" s="148">
        <v>0</v>
      </c>
      <c r="AD232" s="148">
        <v>0</v>
      </c>
      <c r="AE232" s="148">
        <v>0</v>
      </c>
      <c r="AF232" s="148">
        <v>0</v>
      </c>
      <c r="AG232" s="148">
        <v>0</v>
      </c>
      <c r="AH232" s="148">
        <v>0</v>
      </c>
      <c r="AI232" s="148">
        <v>0</v>
      </c>
      <c r="AJ232" s="148">
        <v>0</v>
      </c>
      <c r="AK232" s="148">
        <v>0</v>
      </c>
      <c r="AL232" s="148">
        <v>0</v>
      </c>
      <c r="AM232" s="148">
        <v>0</v>
      </c>
      <c r="AN232" s="10"/>
    </row>
    <row r="233" spans="1:40" ht="14.4" x14ac:dyDescent="0.3">
      <c r="A233" s="147" t="s">
        <v>882</v>
      </c>
      <c r="B233" s="148">
        <v>0</v>
      </c>
      <c r="C233" s="148">
        <v>0</v>
      </c>
      <c r="D233" s="148">
        <v>1</v>
      </c>
      <c r="E233" s="148">
        <v>0</v>
      </c>
      <c r="F233" s="148">
        <v>0</v>
      </c>
      <c r="G233" s="148">
        <v>0</v>
      </c>
      <c r="H233" s="148">
        <v>0</v>
      </c>
      <c r="I233" s="148">
        <v>0</v>
      </c>
      <c r="J233" s="148">
        <v>0</v>
      </c>
      <c r="K233" s="148">
        <v>0</v>
      </c>
      <c r="L233" s="148">
        <v>0</v>
      </c>
      <c r="M233" s="148">
        <v>0</v>
      </c>
      <c r="N233" s="10"/>
      <c r="O233" s="148">
        <v>0</v>
      </c>
      <c r="P233" s="148">
        <v>0</v>
      </c>
      <c r="Q233" s="148">
        <v>1</v>
      </c>
      <c r="R233" s="148">
        <v>0</v>
      </c>
      <c r="S233" s="148">
        <v>0</v>
      </c>
      <c r="T233" s="148">
        <v>0</v>
      </c>
      <c r="U233" s="148">
        <v>0</v>
      </c>
      <c r="V233" s="148">
        <v>0</v>
      </c>
      <c r="W233" s="148">
        <v>0</v>
      </c>
      <c r="X233" s="148">
        <v>0</v>
      </c>
      <c r="Y233" s="148">
        <v>0</v>
      </c>
      <c r="Z233" s="148">
        <v>0</v>
      </c>
      <c r="AA233" s="10"/>
      <c r="AB233" s="148">
        <v>0</v>
      </c>
      <c r="AC233" s="148">
        <v>0</v>
      </c>
      <c r="AD233" s="148">
        <v>1</v>
      </c>
      <c r="AE233" s="148">
        <v>0</v>
      </c>
      <c r="AF233" s="148">
        <v>0</v>
      </c>
      <c r="AG233" s="148">
        <v>0</v>
      </c>
      <c r="AH233" s="148">
        <v>0</v>
      </c>
      <c r="AI233" s="148">
        <v>0</v>
      </c>
      <c r="AJ233" s="148">
        <v>0</v>
      </c>
      <c r="AK233" s="148">
        <v>0</v>
      </c>
      <c r="AL233" s="148">
        <v>0</v>
      </c>
      <c r="AM233" s="148">
        <v>0</v>
      </c>
      <c r="AN233" s="10"/>
    </row>
    <row r="234" spans="1:40" ht="14.4" x14ac:dyDescent="0.3">
      <c r="A234" s="147" t="s">
        <v>883</v>
      </c>
      <c r="B234" s="148">
        <v>0</v>
      </c>
      <c r="C234" s="148">
        <v>0</v>
      </c>
      <c r="D234" s="148">
        <v>0</v>
      </c>
      <c r="E234" s="148">
        <v>0</v>
      </c>
      <c r="F234" s="148">
        <v>0</v>
      </c>
      <c r="G234" s="148">
        <v>0</v>
      </c>
      <c r="H234" s="148">
        <v>0</v>
      </c>
      <c r="I234" s="148">
        <v>0</v>
      </c>
      <c r="J234" s="148">
        <v>0</v>
      </c>
      <c r="K234" s="148">
        <v>0</v>
      </c>
      <c r="L234" s="148">
        <v>0</v>
      </c>
      <c r="M234" s="148">
        <v>0</v>
      </c>
      <c r="N234" s="10"/>
      <c r="O234" s="148">
        <v>0</v>
      </c>
      <c r="P234" s="148">
        <v>0</v>
      </c>
      <c r="Q234" s="148">
        <v>0</v>
      </c>
      <c r="R234" s="148">
        <v>0</v>
      </c>
      <c r="S234" s="148">
        <v>0</v>
      </c>
      <c r="T234" s="148">
        <v>0</v>
      </c>
      <c r="U234" s="148">
        <v>0</v>
      </c>
      <c r="V234" s="148">
        <v>0</v>
      </c>
      <c r="W234" s="148">
        <v>0</v>
      </c>
      <c r="X234" s="148">
        <v>0</v>
      </c>
      <c r="Y234" s="148">
        <v>0</v>
      </c>
      <c r="Z234" s="148">
        <v>0</v>
      </c>
      <c r="AA234" s="10"/>
      <c r="AB234" s="148">
        <v>0</v>
      </c>
      <c r="AC234" s="148">
        <v>0</v>
      </c>
      <c r="AD234" s="148">
        <v>0</v>
      </c>
      <c r="AE234" s="148">
        <v>0</v>
      </c>
      <c r="AF234" s="148">
        <v>0</v>
      </c>
      <c r="AG234" s="148">
        <v>0</v>
      </c>
      <c r="AH234" s="148">
        <v>0</v>
      </c>
      <c r="AI234" s="148">
        <v>0</v>
      </c>
      <c r="AJ234" s="148">
        <v>0</v>
      </c>
      <c r="AK234" s="148">
        <v>0</v>
      </c>
      <c r="AL234" s="148">
        <v>0</v>
      </c>
      <c r="AM234" s="148">
        <v>0</v>
      </c>
      <c r="AN234" s="10"/>
    </row>
    <row r="235" spans="1:40" ht="14.4" x14ac:dyDescent="0.3">
      <c r="A235" s="147" t="s">
        <v>884</v>
      </c>
      <c r="B235" s="148">
        <v>0</v>
      </c>
      <c r="C235" s="148">
        <v>0</v>
      </c>
      <c r="D235" s="148">
        <v>0</v>
      </c>
      <c r="E235" s="148">
        <v>0</v>
      </c>
      <c r="F235" s="148">
        <v>0</v>
      </c>
      <c r="G235" s="148">
        <v>0</v>
      </c>
      <c r="H235" s="148">
        <v>0</v>
      </c>
      <c r="I235" s="148">
        <v>0</v>
      </c>
      <c r="J235" s="148">
        <v>0</v>
      </c>
      <c r="K235" s="148">
        <v>0</v>
      </c>
      <c r="L235" s="148">
        <v>0</v>
      </c>
      <c r="M235" s="148">
        <v>0</v>
      </c>
      <c r="N235" s="10"/>
      <c r="O235" s="148">
        <v>0</v>
      </c>
      <c r="P235" s="148">
        <v>0</v>
      </c>
      <c r="Q235" s="148">
        <v>0</v>
      </c>
      <c r="R235" s="148">
        <v>0</v>
      </c>
      <c r="S235" s="148">
        <v>0</v>
      </c>
      <c r="T235" s="148">
        <v>0</v>
      </c>
      <c r="U235" s="148">
        <v>0</v>
      </c>
      <c r="V235" s="148">
        <v>0</v>
      </c>
      <c r="W235" s="148">
        <v>0</v>
      </c>
      <c r="X235" s="148">
        <v>0</v>
      </c>
      <c r="Y235" s="148">
        <v>0</v>
      </c>
      <c r="Z235" s="148">
        <v>0</v>
      </c>
      <c r="AA235" s="10"/>
      <c r="AB235" s="148">
        <v>0</v>
      </c>
      <c r="AC235" s="148">
        <v>0</v>
      </c>
      <c r="AD235" s="148">
        <v>0</v>
      </c>
      <c r="AE235" s="148">
        <v>0</v>
      </c>
      <c r="AF235" s="148">
        <v>0</v>
      </c>
      <c r="AG235" s="148">
        <v>0</v>
      </c>
      <c r="AH235" s="148">
        <v>0</v>
      </c>
      <c r="AI235" s="148">
        <v>0</v>
      </c>
      <c r="AJ235" s="148">
        <v>0</v>
      </c>
      <c r="AK235" s="148">
        <v>0</v>
      </c>
      <c r="AL235" s="148">
        <v>0</v>
      </c>
      <c r="AM235" s="148">
        <v>0</v>
      </c>
      <c r="AN235" s="10"/>
    </row>
    <row r="236" spans="1:40" ht="14.4" x14ac:dyDescent="0.3">
      <c r="A236" s="147" t="s">
        <v>885</v>
      </c>
      <c r="B236" s="148">
        <v>1</v>
      </c>
      <c r="C236" s="148">
        <v>1</v>
      </c>
      <c r="D236" s="148">
        <v>1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148">
        <v>1</v>
      </c>
      <c r="L236" s="148">
        <v>1</v>
      </c>
      <c r="M236" s="148">
        <v>1</v>
      </c>
      <c r="N236" s="10"/>
      <c r="O236" s="148">
        <v>1</v>
      </c>
      <c r="P236" s="148">
        <v>1</v>
      </c>
      <c r="Q236" s="148">
        <v>1</v>
      </c>
      <c r="R236" s="148">
        <v>1</v>
      </c>
      <c r="S236" s="148">
        <v>1</v>
      </c>
      <c r="T236" s="148">
        <v>1</v>
      </c>
      <c r="U236" s="148">
        <v>1</v>
      </c>
      <c r="V236" s="148">
        <v>1</v>
      </c>
      <c r="W236" s="148">
        <v>1</v>
      </c>
      <c r="X236" s="148">
        <v>1</v>
      </c>
      <c r="Y236" s="148">
        <v>1</v>
      </c>
      <c r="Z236" s="148">
        <v>1</v>
      </c>
      <c r="AA236" s="10"/>
      <c r="AB236" s="148">
        <v>1</v>
      </c>
      <c r="AC236" s="148">
        <v>1</v>
      </c>
      <c r="AD236" s="148">
        <v>1</v>
      </c>
      <c r="AE236" s="148">
        <v>1</v>
      </c>
      <c r="AF236" s="148">
        <v>1</v>
      </c>
      <c r="AG236" s="148">
        <v>1</v>
      </c>
      <c r="AH236" s="148">
        <v>1</v>
      </c>
      <c r="AI236" s="148">
        <v>1</v>
      </c>
      <c r="AJ236" s="148">
        <v>1</v>
      </c>
      <c r="AK236" s="148">
        <v>1</v>
      </c>
      <c r="AL236" s="148">
        <v>1</v>
      </c>
      <c r="AM236" s="148">
        <v>1</v>
      </c>
      <c r="AN236" s="10"/>
    </row>
    <row r="237" spans="1:40" ht="14.4" x14ac:dyDescent="0.3">
      <c r="A237" s="147" t="s">
        <v>886</v>
      </c>
      <c r="B237" s="148">
        <v>0</v>
      </c>
      <c r="C237" s="148">
        <v>0</v>
      </c>
      <c r="D237" s="148">
        <v>0</v>
      </c>
      <c r="E237" s="148">
        <v>0</v>
      </c>
      <c r="F237" s="148">
        <v>0</v>
      </c>
      <c r="G237" s="148">
        <v>0</v>
      </c>
      <c r="H237" s="148">
        <v>0</v>
      </c>
      <c r="I237" s="148">
        <v>0</v>
      </c>
      <c r="J237" s="148">
        <v>0</v>
      </c>
      <c r="K237" s="148">
        <v>0</v>
      </c>
      <c r="L237" s="148">
        <v>0</v>
      </c>
      <c r="M237" s="148">
        <v>-7027.6179999864598</v>
      </c>
      <c r="N237" s="10"/>
      <c r="O237" s="148">
        <v>0</v>
      </c>
      <c r="P237" s="148">
        <v>0</v>
      </c>
      <c r="Q237" s="148">
        <v>0</v>
      </c>
      <c r="R237" s="148">
        <v>0</v>
      </c>
      <c r="S237" s="148">
        <v>0</v>
      </c>
      <c r="T237" s="148">
        <v>0</v>
      </c>
      <c r="U237" s="148">
        <v>0</v>
      </c>
      <c r="V237" s="148">
        <v>0</v>
      </c>
      <c r="W237" s="148">
        <v>0</v>
      </c>
      <c r="X237" s="148">
        <v>0</v>
      </c>
      <c r="Y237" s="148">
        <v>0</v>
      </c>
      <c r="Z237" s="148">
        <v>-8.3685381468967503E-7</v>
      </c>
      <c r="AA237" s="10"/>
      <c r="AB237" s="148">
        <v>0</v>
      </c>
      <c r="AC237" s="148">
        <v>0</v>
      </c>
      <c r="AD237" s="148">
        <v>0</v>
      </c>
      <c r="AE237" s="148">
        <v>0</v>
      </c>
      <c r="AF237" s="148">
        <v>0</v>
      </c>
      <c r="AG237" s="148">
        <v>0</v>
      </c>
      <c r="AH237" s="148">
        <v>0</v>
      </c>
      <c r="AI237" s="148">
        <v>0</v>
      </c>
      <c r="AJ237" s="148">
        <v>0</v>
      </c>
      <c r="AK237" s="148">
        <v>0</v>
      </c>
      <c r="AL237" s="148">
        <v>0</v>
      </c>
      <c r="AM237" s="148">
        <v>0</v>
      </c>
      <c r="AN237" s="10"/>
    </row>
    <row r="238" spans="1:40" ht="14.4" x14ac:dyDescent="0.3">
      <c r="A238" s="147" t="s">
        <v>887</v>
      </c>
      <c r="B238" s="148">
        <v>0</v>
      </c>
      <c r="C238" s="148">
        <v>0</v>
      </c>
      <c r="D238" s="148">
        <v>0</v>
      </c>
      <c r="E238" s="148">
        <v>0</v>
      </c>
      <c r="F238" s="148">
        <v>0</v>
      </c>
      <c r="G238" s="148">
        <v>0</v>
      </c>
      <c r="H238" s="148">
        <v>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0"/>
      <c r="O238" s="148">
        <v>0</v>
      </c>
      <c r="P238" s="148">
        <v>0</v>
      </c>
      <c r="Q238" s="148">
        <v>0</v>
      </c>
      <c r="R238" s="148">
        <v>0</v>
      </c>
      <c r="S238" s="148">
        <v>0</v>
      </c>
      <c r="T238" s="148">
        <v>0</v>
      </c>
      <c r="U238" s="148">
        <v>0</v>
      </c>
      <c r="V238" s="148">
        <v>0</v>
      </c>
      <c r="W238" s="148">
        <v>0</v>
      </c>
      <c r="X238" s="148">
        <v>0</v>
      </c>
      <c r="Y238" s="148">
        <v>0</v>
      </c>
      <c r="Z238" s="148">
        <v>0</v>
      </c>
      <c r="AA238" s="10"/>
      <c r="AB238" s="148">
        <v>0</v>
      </c>
      <c r="AC238" s="148">
        <v>0</v>
      </c>
      <c r="AD238" s="148">
        <v>0</v>
      </c>
      <c r="AE238" s="148">
        <v>0</v>
      </c>
      <c r="AF238" s="148">
        <v>0</v>
      </c>
      <c r="AG238" s="148">
        <v>0</v>
      </c>
      <c r="AH238" s="148">
        <v>0</v>
      </c>
      <c r="AI238" s="148">
        <v>0</v>
      </c>
      <c r="AJ238" s="148">
        <v>0</v>
      </c>
      <c r="AK238" s="148">
        <v>0</v>
      </c>
      <c r="AL238" s="148">
        <v>0</v>
      </c>
      <c r="AM238" s="148">
        <v>0</v>
      </c>
      <c r="AN238" s="10"/>
    </row>
    <row r="239" spans="1:40" ht="14.4" x14ac:dyDescent="0.3">
      <c r="A239" s="147" t="s">
        <v>888</v>
      </c>
      <c r="B239" s="148">
        <v>0</v>
      </c>
      <c r="C239" s="148">
        <v>0</v>
      </c>
      <c r="D239" s="148">
        <v>0</v>
      </c>
      <c r="E239" s="148">
        <v>0</v>
      </c>
      <c r="F239" s="148">
        <v>0</v>
      </c>
      <c r="G239" s="148">
        <v>0</v>
      </c>
      <c r="H239" s="148">
        <v>0</v>
      </c>
      <c r="I239" s="148">
        <v>0</v>
      </c>
      <c r="J239" s="148">
        <v>0</v>
      </c>
      <c r="K239" s="148">
        <v>0</v>
      </c>
      <c r="L239" s="148">
        <v>0</v>
      </c>
      <c r="M239" s="148">
        <v>0</v>
      </c>
      <c r="N239" s="10"/>
      <c r="O239" s="148">
        <v>0</v>
      </c>
      <c r="P239" s="148">
        <v>0</v>
      </c>
      <c r="Q239" s="148">
        <v>0</v>
      </c>
      <c r="R239" s="148">
        <v>0</v>
      </c>
      <c r="S239" s="148">
        <v>0</v>
      </c>
      <c r="T239" s="148">
        <v>0</v>
      </c>
      <c r="U239" s="148">
        <v>0</v>
      </c>
      <c r="V239" s="148">
        <v>0</v>
      </c>
      <c r="W239" s="148">
        <v>0</v>
      </c>
      <c r="X239" s="148">
        <v>0</v>
      </c>
      <c r="Y239" s="148">
        <v>0</v>
      </c>
      <c r="Z239" s="148">
        <v>0</v>
      </c>
      <c r="AA239" s="10"/>
      <c r="AB239" s="148">
        <v>0</v>
      </c>
      <c r="AC239" s="148">
        <v>0</v>
      </c>
      <c r="AD239" s="148">
        <v>0</v>
      </c>
      <c r="AE239" s="148">
        <v>0</v>
      </c>
      <c r="AF239" s="148">
        <v>0</v>
      </c>
      <c r="AG239" s="148">
        <v>0</v>
      </c>
      <c r="AH239" s="148">
        <v>0</v>
      </c>
      <c r="AI239" s="148">
        <v>0</v>
      </c>
      <c r="AJ239" s="148">
        <v>0</v>
      </c>
      <c r="AK239" s="148">
        <v>0</v>
      </c>
      <c r="AL239" s="148">
        <v>0</v>
      </c>
      <c r="AM239" s="148">
        <v>0</v>
      </c>
      <c r="AN239" s="10"/>
    </row>
    <row r="240" spans="1:40" ht="14.4" x14ac:dyDescent="0.3">
      <c r="A240" s="147" t="s">
        <v>889</v>
      </c>
      <c r="B240" s="148">
        <v>0</v>
      </c>
      <c r="C240" s="148">
        <v>0</v>
      </c>
      <c r="D240" s="148">
        <v>0</v>
      </c>
      <c r="E240" s="148">
        <v>0</v>
      </c>
      <c r="F240" s="148">
        <v>0</v>
      </c>
      <c r="G240" s="148">
        <v>0</v>
      </c>
      <c r="H240" s="148">
        <v>0</v>
      </c>
      <c r="I240" s="148">
        <v>0</v>
      </c>
      <c r="J240" s="148">
        <v>0</v>
      </c>
      <c r="K240" s="148">
        <v>0</v>
      </c>
      <c r="L240" s="148">
        <v>0</v>
      </c>
      <c r="M240" s="148">
        <v>0</v>
      </c>
      <c r="N240" s="10"/>
      <c r="O240" s="148">
        <v>0</v>
      </c>
      <c r="P240" s="148">
        <v>0</v>
      </c>
      <c r="Q240" s="148">
        <v>0</v>
      </c>
      <c r="R240" s="148">
        <v>0</v>
      </c>
      <c r="S240" s="148">
        <v>0</v>
      </c>
      <c r="T240" s="148">
        <v>0</v>
      </c>
      <c r="U240" s="148">
        <v>0</v>
      </c>
      <c r="V240" s="148">
        <v>0</v>
      </c>
      <c r="W240" s="148">
        <v>0</v>
      </c>
      <c r="X240" s="148">
        <v>0</v>
      </c>
      <c r="Y240" s="148">
        <v>0</v>
      </c>
      <c r="Z240" s="148">
        <v>0</v>
      </c>
      <c r="AA240" s="10"/>
      <c r="AB240" s="148">
        <v>0</v>
      </c>
      <c r="AC240" s="148">
        <v>0</v>
      </c>
      <c r="AD240" s="148">
        <v>0</v>
      </c>
      <c r="AE240" s="148">
        <v>0</v>
      </c>
      <c r="AF240" s="148">
        <v>0</v>
      </c>
      <c r="AG240" s="148">
        <v>0</v>
      </c>
      <c r="AH240" s="148">
        <v>0</v>
      </c>
      <c r="AI240" s="148">
        <v>0</v>
      </c>
      <c r="AJ240" s="148">
        <v>0</v>
      </c>
      <c r="AK240" s="148">
        <v>0</v>
      </c>
      <c r="AL240" s="148">
        <v>0</v>
      </c>
      <c r="AM240" s="148">
        <v>0</v>
      </c>
      <c r="AN240" s="10"/>
    </row>
    <row r="241" spans="1:40" ht="14.4" x14ac:dyDescent="0.3">
      <c r="A241" s="147" t="s">
        <v>890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4.4" x14ac:dyDescent="0.3">
      <c r="A242" s="147" t="s">
        <v>891</v>
      </c>
      <c r="B242" s="148">
        <v>201801</v>
      </c>
      <c r="C242" s="148">
        <v>201801</v>
      </c>
      <c r="D242" s="148">
        <v>201801</v>
      </c>
      <c r="E242" s="148">
        <v>201801</v>
      </c>
      <c r="F242" s="148">
        <v>201801</v>
      </c>
      <c r="G242" s="148">
        <v>201801</v>
      </c>
      <c r="H242" s="148">
        <v>201801</v>
      </c>
      <c r="I242" s="148">
        <v>201801</v>
      </c>
      <c r="J242" s="148">
        <v>201801</v>
      </c>
      <c r="K242" s="148">
        <v>201801</v>
      </c>
      <c r="L242" s="148">
        <v>201801</v>
      </c>
      <c r="M242" s="148">
        <v>201801</v>
      </c>
      <c r="N242" s="10"/>
      <c r="O242" s="148">
        <v>201801</v>
      </c>
      <c r="P242" s="148">
        <v>201801</v>
      </c>
      <c r="Q242" s="148">
        <v>201801</v>
      </c>
      <c r="R242" s="148">
        <v>201801</v>
      </c>
      <c r="S242" s="148">
        <v>201801</v>
      </c>
      <c r="T242" s="148">
        <v>201801</v>
      </c>
      <c r="U242" s="148">
        <v>201801</v>
      </c>
      <c r="V242" s="148">
        <v>201801</v>
      </c>
      <c r="W242" s="148">
        <v>201801</v>
      </c>
      <c r="X242" s="148">
        <v>201801</v>
      </c>
      <c r="Y242" s="148">
        <v>201801</v>
      </c>
      <c r="Z242" s="148">
        <v>201801</v>
      </c>
      <c r="AA242" s="10"/>
      <c r="AB242" s="148">
        <v>201801</v>
      </c>
      <c r="AC242" s="148">
        <v>201801</v>
      </c>
      <c r="AD242" s="148">
        <v>201801</v>
      </c>
      <c r="AE242" s="148">
        <v>201801</v>
      </c>
      <c r="AF242" s="148">
        <v>201801</v>
      </c>
      <c r="AG242" s="148">
        <v>201801</v>
      </c>
      <c r="AH242" s="148">
        <v>201801</v>
      </c>
      <c r="AI242" s="148">
        <v>201801</v>
      </c>
      <c r="AJ242" s="148">
        <v>201801</v>
      </c>
      <c r="AK242" s="148">
        <v>201801</v>
      </c>
      <c r="AL242" s="148">
        <v>201801</v>
      </c>
      <c r="AM242" s="148">
        <v>201801</v>
      </c>
      <c r="AN242" s="10"/>
    </row>
    <row r="243" spans="1:40" ht="14.4" x14ac:dyDescent="0.3">
      <c r="A243" s="147" t="s">
        <v>892</v>
      </c>
      <c r="B243" s="148">
        <v>201801</v>
      </c>
      <c r="C243" s="148">
        <v>201802</v>
      </c>
      <c r="D243" s="148">
        <v>201803</v>
      </c>
      <c r="E243" s="148">
        <v>201804</v>
      </c>
      <c r="F243" s="148">
        <v>201805</v>
      </c>
      <c r="G243" s="148">
        <v>201806</v>
      </c>
      <c r="H243" s="148">
        <v>201807</v>
      </c>
      <c r="I243" s="148">
        <v>201808</v>
      </c>
      <c r="J243" s="148">
        <v>201809</v>
      </c>
      <c r="K243" s="148">
        <v>201810</v>
      </c>
      <c r="L243" s="148">
        <v>201811</v>
      </c>
      <c r="M243" s="148">
        <v>201812</v>
      </c>
      <c r="N243" s="10"/>
      <c r="O243" s="148">
        <v>201901</v>
      </c>
      <c r="P243" s="148">
        <v>201902</v>
      </c>
      <c r="Q243" s="148">
        <v>201903</v>
      </c>
      <c r="R243" s="148">
        <v>201904</v>
      </c>
      <c r="S243" s="148">
        <v>201905</v>
      </c>
      <c r="T243" s="148">
        <v>201906</v>
      </c>
      <c r="U243" s="148">
        <v>201907</v>
      </c>
      <c r="V243" s="148">
        <v>201908</v>
      </c>
      <c r="W243" s="148">
        <v>201909</v>
      </c>
      <c r="X243" s="148">
        <v>201910</v>
      </c>
      <c r="Y243" s="148">
        <v>201911</v>
      </c>
      <c r="Z243" s="148">
        <v>201912</v>
      </c>
      <c r="AA243" s="10"/>
      <c r="AB243" s="148">
        <v>202001</v>
      </c>
      <c r="AC243" s="148">
        <v>202002</v>
      </c>
      <c r="AD243" s="148">
        <v>202003</v>
      </c>
      <c r="AE243" s="148">
        <v>202004</v>
      </c>
      <c r="AF243" s="148">
        <v>202005</v>
      </c>
      <c r="AG243" s="148">
        <v>202006</v>
      </c>
      <c r="AH243" s="148">
        <v>202007</v>
      </c>
      <c r="AI243" s="148">
        <v>202008</v>
      </c>
      <c r="AJ243" s="148">
        <v>202009</v>
      </c>
      <c r="AK243" s="148">
        <v>202010</v>
      </c>
      <c r="AL243" s="148">
        <v>202011</v>
      </c>
      <c r="AM243" s="148">
        <v>202012</v>
      </c>
      <c r="AN243" s="10"/>
    </row>
    <row r="244" spans="1:40" ht="14.4" x14ac:dyDescent="0.3">
      <c r="A244" s="147" t="s">
        <v>893</v>
      </c>
      <c r="B244" s="148">
        <v>0</v>
      </c>
      <c r="C244" s="148">
        <v>0</v>
      </c>
      <c r="D244" s="148">
        <v>0</v>
      </c>
      <c r="E244" s="148">
        <v>0</v>
      </c>
      <c r="F244" s="148">
        <v>0</v>
      </c>
      <c r="G244" s="148">
        <v>0</v>
      </c>
      <c r="H244" s="148">
        <v>0</v>
      </c>
      <c r="I244" s="148">
        <v>0</v>
      </c>
      <c r="J244" s="148">
        <v>0</v>
      </c>
      <c r="K244" s="148">
        <v>0</v>
      </c>
      <c r="L244" s="148">
        <v>0</v>
      </c>
      <c r="M244" s="148">
        <v>0</v>
      </c>
      <c r="N244" s="10"/>
      <c r="O244" s="148">
        <v>0</v>
      </c>
      <c r="P244" s="148">
        <v>0</v>
      </c>
      <c r="Q244" s="148">
        <v>0</v>
      </c>
      <c r="R244" s="148">
        <v>0</v>
      </c>
      <c r="S244" s="148">
        <v>0</v>
      </c>
      <c r="T244" s="148">
        <v>0</v>
      </c>
      <c r="U244" s="148">
        <v>0</v>
      </c>
      <c r="V244" s="148">
        <v>0</v>
      </c>
      <c r="W244" s="148">
        <v>0</v>
      </c>
      <c r="X244" s="148">
        <v>0</v>
      </c>
      <c r="Y244" s="148">
        <v>0</v>
      </c>
      <c r="Z244" s="148">
        <v>0</v>
      </c>
      <c r="AA244" s="10"/>
      <c r="AB244" s="148">
        <v>0</v>
      </c>
      <c r="AC244" s="148">
        <v>0</v>
      </c>
      <c r="AD244" s="148">
        <v>0</v>
      </c>
      <c r="AE244" s="148">
        <v>0</v>
      </c>
      <c r="AF244" s="148">
        <v>0</v>
      </c>
      <c r="AG244" s="148">
        <v>0</v>
      </c>
      <c r="AH244" s="148">
        <v>0</v>
      </c>
      <c r="AI244" s="148">
        <v>0</v>
      </c>
      <c r="AJ244" s="148">
        <v>0</v>
      </c>
      <c r="AK244" s="148">
        <v>0</v>
      </c>
      <c r="AL244" s="148">
        <v>0</v>
      </c>
      <c r="AM244" s="148">
        <v>0</v>
      </c>
      <c r="AN244" s="10"/>
    </row>
    <row r="245" spans="1:40" ht="14.4" x14ac:dyDescent="0.3">
      <c r="A245" s="147" t="s">
        <v>894</v>
      </c>
      <c r="B245" s="148">
        <v>0</v>
      </c>
      <c r="C245" s="148">
        <v>0</v>
      </c>
      <c r="D245" s="148">
        <v>0</v>
      </c>
      <c r="E245" s="148">
        <v>0</v>
      </c>
      <c r="F245" s="148">
        <v>0</v>
      </c>
      <c r="G245" s="148">
        <v>0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8">
        <v>0</v>
      </c>
      <c r="N245" s="10"/>
      <c r="O245" s="148">
        <v>0</v>
      </c>
      <c r="P245" s="148">
        <v>0</v>
      </c>
      <c r="Q245" s="148">
        <v>0</v>
      </c>
      <c r="R245" s="148">
        <v>0</v>
      </c>
      <c r="S245" s="148">
        <v>0</v>
      </c>
      <c r="T245" s="148">
        <v>0</v>
      </c>
      <c r="U245" s="148">
        <v>0</v>
      </c>
      <c r="V245" s="148">
        <v>0</v>
      </c>
      <c r="W245" s="148">
        <v>0</v>
      </c>
      <c r="X245" s="148">
        <v>0</v>
      </c>
      <c r="Y245" s="148">
        <v>0</v>
      </c>
      <c r="Z245" s="148">
        <v>0</v>
      </c>
      <c r="AA245" s="10"/>
      <c r="AB245" s="148">
        <v>0</v>
      </c>
      <c r="AC245" s="148">
        <v>0</v>
      </c>
      <c r="AD245" s="148">
        <v>0</v>
      </c>
      <c r="AE245" s="148">
        <v>0</v>
      </c>
      <c r="AF245" s="148">
        <v>0</v>
      </c>
      <c r="AG245" s="148">
        <v>0</v>
      </c>
      <c r="AH245" s="148">
        <v>0</v>
      </c>
      <c r="AI245" s="148">
        <v>0</v>
      </c>
      <c r="AJ245" s="148">
        <v>0</v>
      </c>
      <c r="AK245" s="148">
        <v>0</v>
      </c>
      <c r="AL245" s="148">
        <v>0</v>
      </c>
      <c r="AM245" s="148">
        <v>0</v>
      </c>
      <c r="AN245" s="10"/>
    </row>
    <row r="246" spans="1:40" ht="14.4" x14ac:dyDescent="0.3">
      <c r="A246" s="147" t="s">
        <v>895</v>
      </c>
      <c r="B246" s="148">
        <v>1</v>
      </c>
      <c r="C246" s="148">
        <v>1</v>
      </c>
      <c r="D246" s="148">
        <v>1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148">
        <v>1</v>
      </c>
      <c r="L246" s="148">
        <v>1</v>
      </c>
      <c r="M246" s="148">
        <v>1</v>
      </c>
      <c r="N246" s="10"/>
      <c r="O246" s="148">
        <v>1</v>
      </c>
      <c r="P246" s="148">
        <v>1</v>
      </c>
      <c r="Q246" s="148">
        <v>1</v>
      </c>
      <c r="R246" s="148">
        <v>1</v>
      </c>
      <c r="S246" s="148">
        <v>1</v>
      </c>
      <c r="T246" s="148">
        <v>1</v>
      </c>
      <c r="U246" s="148">
        <v>1</v>
      </c>
      <c r="V246" s="148">
        <v>1</v>
      </c>
      <c r="W246" s="148">
        <v>1</v>
      </c>
      <c r="X246" s="148">
        <v>1</v>
      </c>
      <c r="Y246" s="148">
        <v>1</v>
      </c>
      <c r="Z246" s="148">
        <v>1</v>
      </c>
      <c r="AA246" s="10"/>
      <c r="AB246" s="148">
        <v>1</v>
      </c>
      <c r="AC246" s="148">
        <v>1</v>
      </c>
      <c r="AD246" s="148">
        <v>1</v>
      </c>
      <c r="AE246" s="148">
        <v>1</v>
      </c>
      <c r="AF246" s="148">
        <v>1</v>
      </c>
      <c r="AG246" s="148">
        <v>1</v>
      </c>
      <c r="AH246" s="148">
        <v>1</v>
      </c>
      <c r="AI246" s="148">
        <v>1</v>
      </c>
      <c r="AJ246" s="148">
        <v>1</v>
      </c>
      <c r="AK246" s="148">
        <v>1</v>
      </c>
      <c r="AL246" s="148">
        <v>1</v>
      </c>
      <c r="AM246" s="148">
        <v>1</v>
      </c>
      <c r="AN246" s="10"/>
    </row>
    <row r="247" spans="1:40" ht="14.4" x14ac:dyDescent="0.3">
      <c r="A247" s="147" t="s">
        <v>896</v>
      </c>
      <c r="B247" s="148">
        <v>6132.5776500000002</v>
      </c>
      <c r="C247" s="148">
        <v>6014.2587800000001</v>
      </c>
      <c r="D247" s="148">
        <v>6195.2992000000004</v>
      </c>
      <c r="E247" s="148">
        <v>6259.1302900000001</v>
      </c>
      <c r="F247" s="148">
        <v>6435.9657399999996</v>
      </c>
      <c r="G247" s="148">
        <v>6417.9518699999999</v>
      </c>
      <c r="H247" s="148">
        <v>6472.1962243336302</v>
      </c>
      <c r="I247" s="148">
        <v>6508.6696623524504</v>
      </c>
      <c r="J247" s="148">
        <v>6541.1211243320704</v>
      </c>
      <c r="K247" s="148">
        <v>6665.0477627319096</v>
      </c>
      <c r="L247" s="148">
        <v>6752.0731358581997</v>
      </c>
      <c r="M247" s="148">
        <v>6830.7926117594398</v>
      </c>
      <c r="N247" s="10"/>
      <c r="O247" s="148">
        <v>6855.7210356413998</v>
      </c>
      <c r="P247" s="148">
        <v>6824.0426654081102</v>
      </c>
      <c r="Q247" s="148">
        <v>6921.9916509616696</v>
      </c>
      <c r="R247" s="148">
        <v>7071.5809450993402</v>
      </c>
      <c r="S247" s="148">
        <v>8276.8217514013195</v>
      </c>
      <c r="T247" s="148">
        <v>7963.9412842415504</v>
      </c>
      <c r="U247" s="148">
        <v>8007.0931171175898</v>
      </c>
      <c r="V247" s="148">
        <v>8028.1804601079302</v>
      </c>
      <c r="W247" s="148">
        <v>8045.0599406869296</v>
      </c>
      <c r="X247" s="148">
        <v>8138.7971875662897</v>
      </c>
      <c r="Y247" s="148">
        <v>8234.90879485394</v>
      </c>
      <c r="Z247" s="148">
        <v>8287.5602897841509</v>
      </c>
      <c r="AA247" s="10"/>
      <c r="AB247" s="148">
        <v>8207.6399669592192</v>
      </c>
      <c r="AC247" s="148">
        <v>8087.2964490265003</v>
      </c>
      <c r="AD247" s="148">
        <v>8141.5979702111999</v>
      </c>
      <c r="AE247" s="148">
        <v>8202.2083856915906</v>
      </c>
      <c r="AF247" s="148">
        <v>8233.2974398398092</v>
      </c>
      <c r="AG247" s="148">
        <v>8252.1246466053999</v>
      </c>
      <c r="AH247" s="148">
        <v>8282.8163808785102</v>
      </c>
      <c r="AI247" s="148">
        <v>8269.5000589987194</v>
      </c>
      <c r="AJ247" s="148">
        <v>8284.4298888291905</v>
      </c>
      <c r="AK247" s="148">
        <v>8369.2790191510903</v>
      </c>
      <c r="AL247" s="148">
        <v>8216.3117429420399</v>
      </c>
      <c r="AM247" s="148">
        <v>8267.9473676409398</v>
      </c>
      <c r="AN247" s="10"/>
    </row>
    <row r="248" spans="1:40" ht="14.4" x14ac:dyDescent="0.3">
      <c r="A248" s="147" t="s">
        <v>897</v>
      </c>
      <c r="B248" s="148">
        <v>0</v>
      </c>
      <c r="C248" s="148">
        <v>0</v>
      </c>
      <c r="D248" s="148">
        <v>0</v>
      </c>
      <c r="E248" s="148">
        <v>0</v>
      </c>
      <c r="F248" s="148">
        <v>0</v>
      </c>
      <c r="G248" s="148">
        <v>0</v>
      </c>
      <c r="H248" s="148">
        <v>0</v>
      </c>
      <c r="I248" s="148">
        <v>0</v>
      </c>
      <c r="J248" s="148">
        <v>0</v>
      </c>
      <c r="K248" s="148">
        <v>0</v>
      </c>
      <c r="L248" s="148">
        <v>0</v>
      </c>
      <c r="M248" s="148">
        <v>0</v>
      </c>
      <c r="N248" s="10"/>
      <c r="O248" s="148">
        <v>0</v>
      </c>
      <c r="P248" s="148">
        <v>0</v>
      </c>
      <c r="Q248" s="148">
        <v>0</v>
      </c>
      <c r="R248" s="148">
        <v>0</v>
      </c>
      <c r="S248" s="148">
        <v>0</v>
      </c>
      <c r="T248" s="148">
        <v>0</v>
      </c>
      <c r="U248" s="148">
        <v>0</v>
      </c>
      <c r="V248" s="148">
        <v>0</v>
      </c>
      <c r="W248" s="148">
        <v>0</v>
      </c>
      <c r="X248" s="148">
        <v>0</v>
      </c>
      <c r="Y248" s="148">
        <v>0</v>
      </c>
      <c r="Z248" s="148">
        <v>0</v>
      </c>
      <c r="AA248" s="10"/>
      <c r="AB248" s="148">
        <v>0</v>
      </c>
      <c r="AC248" s="148">
        <v>0</v>
      </c>
      <c r="AD248" s="148">
        <v>0</v>
      </c>
      <c r="AE248" s="148">
        <v>0</v>
      </c>
      <c r="AF248" s="148">
        <v>0</v>
      </c>
      <c r="AG248" s="148">
        <v>0</v>
      </c>
      <c r="AH248" s="148">
        <v>0</v>
      </c>
      <c r="AI248" s="148">
        <v>0</v>
      </c>
      <c r="AJ248" s="148">
        <v>0</v>
      </c>
      <c r="AK248" s="148">
        <v>0</v>
      </c>
      <c r="AL248" s="148">
        <v>0</v>
      </c>
      <c r="AM248" s="148">
        <v>0</v>
      </c>
      <c r="AN248" s="10"/>
    </row>
    <row r="249" spans="1:40" ht="14.4" x14ac:dyDescent="0.3">
      <c r="A249" s="147" t="s">
        <v>898</v>
      </c>
      <c r="B249" s="148">
        <v>6132.5776500000002</v>
      </c>
      <c r="C249" s="148">
        <v>6014.2587800000001</v>
      </c>
      <c r="D249" s="148">
        <v>6195.2992000000004</v>
      </c>
      <c r="E249" s="148">
        <v>6259.1302900000001</v>
      </c>
      <c r="F249" s="148">
        <v>6435.9657399999996</v>
      </c>
      <c r="G249" s="148">
        <v>6417.9518699999999</v>
      </c>
      <c r="H249" s="148">
        <v>6472.1962243336302</v>
      </c>
      <c r="I249" s="148">
        <v>6508.6696623524504</v>
      </c>
      <c r="J249" s="148">
        <v>6541.1211243320704</v>
      </c>
      <c r="K249" s="148">
        <v>6665.0477627319096</v>
      </c>
      <c r="L249" s="148">
        <v>6752.0731358581997</v>
      </c>
      <c r="M249" s="148">
        <v>6830.7926117594398</v>
      </c>
      <c r="N249" s="10"/>
      <c r="O249" s="148">
        <v>6855.7210356413998</v>
      </c>
      <c r="P249" s="148">
        <v>6824.0426654081102</v>
      </c>
      <c r="Q249" s="148">
        <v>6921.9916509616696</v>
      </c>
      <c r="R249" s="148">
        <v>7071.5809450993402</v>
      </c>
      <c r="S249" s="148">
        <v>8276.8217514013195</v>
      </c>
      <c r="T249" s="148">
        <v>7963.9412842415504</v>
      </c>
      <c r="U249" s="148">
        <v>8007.0931171175898</v>
      </c>
      <c r="V249" s="148">
        <v>8028.1804601079302</v>
      </c>
      <c r="W249" s="148">
        <v>8045.0599406869296</v>
      </c>
      <c r="X249" s="148">
        <v>8138.7971875662897</v>
      </c>
      <c r="Y249" s="148">
        <v>8234.90879485394</v>
      </c>
      <c r="Z249" s="148">
        <v>8287.5602897841509</v>
      </c>
      <c r="AA249" s="10"/>
      <c r="AB249" s="148">
        <v>8207.6399669592192</v>
      </c>
      <c r="AC249" s="148">
        <v>8087.2964490265003</v>
      </c>
      <c r="AD249" s="148">
        <v>8141.5979702111999</v>
      </c>
      <c r="AE249" s="148">
        <v>8202.2083856915906</v>
      </c>
      <c r="AF249" s="148">
        <v>8233.2974398398092</v>
      </c>
      <c r="AG249" s="148">
        <v>8252.1246466053999</v>
      </c>
      <c r="AH249" s="148">
        <v>8282.8163808785102</v>
      </c>
      <c r="AI249" s="148">
        <v>8269.5000589987194</v>
      </c>
      <c r="AJ249" s="148">
        <v>8284.4298888291905</v>
      </c>
      <c r="AK249" s="148">
        <v>8369.2790191510903</v>
      </c>
      <c r="AL249" s="148">
        <v>8216.3117429420399</v>
      </c>
      <c r="AM249" s="148">
        <v>8267.9473676409398</v>
      </c>
      <c r="AN249" s="10"/>
    </row>
    <row r="250" spans="1:40" ht="14.4" x14ac:dyDescent="0.3">
      <c r="A250" s="147" t="s">
        <v>899</v>
      </c>
      <c r="B250" s="148">
        <v>0</v>
      </c>
      <c r="C250" s="148">
        <v>0</v>
      </c>
      <c r="D250" s="148">
        <v>0</v>
      </c>
      <c r="E250" s="148">
        <v>0</v>
      </c>
      <c r="F250" s="148">
        <v>0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0"/>
      <c r="O250" s="148">
        <v>0</v>
      </c>
      <c r="P250" s="148">
        <v>0</v>
      </c>
      <c r="Q250" s="148">
        <v>0</v>
      </c>
      <c r="R250" s="148">
        <v>0</v>
      </c>
      <c r="S250" s="148">
        <v>0</v>
      </c>
      <c r="T250" s="148">
        <v>0</v>
      </c>
      <c r="U250" s="148">
        <v>0</v>
      </c>
      <c r="V250" s="148">
        <v>0</v>
      </c>
      <c r="W250" s="148">
        <v>0</v>
      </c>
      <c r="X250" s="148">
        <v>0</v>
      </c>
      <c r="Y250" s="148">
        <v>0</v>
      </c>
      <c r="Z250" s="148">
        <v>0</v>
      </c>
      <c r="AA250" s="10"/>
      <c r="AB250" s="148">
        <v>0</v>
      </c>
      <c r="AC250" s="148">
        <v>0</v>
      </c>
      <c r="AD250" s="148">
        <v>0</v>
      </c>
      <c r="AE250" s="148">
        <v>0</v>
      </c>
      <c r="AF250" s="148">
        <v>0</v>
      </c>
      <c r="AG250" s="148">
        <v>0</v>
      </c>
      <c r="AH250" s="148">
        <v>0</v>
      </c>
      <c r="AI250" s="148">
        <v>0</v>
      </c>
      <c r="AJ250" s="148">
        <v>0</v>
      </c>
      <c r="AK250" s="148">
        <v>0</v>
      </c>
      <c r="AL250" s="148">
        <v>0</v>
      </c>
      <c r="AM250" s="148">
        <v>0</v>
      </c>
      <c r="AN250" s="10"/>
    </row>
    <row r="251" spans="1:40" ht="14.4" x14ac:dyDescent="0.3">
      <c r="A251" s="147" t="s">
        <v>900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4.4" x14ac:dyDescent="0.3">
      <c r="A252" s="147" t="s">
        <v>901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4.4" x14ac:dyDescent="0.3">
      <c r="A253" s="146" t="s">
        <v>902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0.199999999999999" x14ac:dyDescent="0.2">
      <c r="A254" s="147" t="s">
        <v>657</v>
      </c>
      <c r="B254" s="148">
        <v>201801</v>
      </c>
      <c r="C254" s="148">
        <v>201802</v>
      </c>
      <c r="D254" s="148">
        <v>201803</v>
      </c>
      <c r="E254" s="148">
        <v>201804</v>
      </c>
      <c r="F254" s="148">
        <v>201805</v>
      </c>
      <c r="G254" s="148">
        <v>201806</v>
      </c>
      <c r="H254" s="148">
        <v>201807</v>
      </c>
      <c r="I254" s="148">
        <v>201808</v>
      </c>
      <c r="J254" s="148">
        <v>201809</v>
      </c>
      <c r="K254" s="148">
        <v>201810</v>
      </c>
      <c r="L254" s="148">
        <v>201811</v>
      </c>
      <c r="M254" s="148">
        <v>201812</v>
      </c>
      <c r="N254" s="148"/>
      <c r="O254" s="148">
        <v>201901</v>
      </c>
      <c r="P254" s="148">
        <v>201902</v>
      </c>
      <c r="Q254" s="148">
        <v>201903</v>
      </c>
      <c r="R254" s="148">
        <v>201904</v>
      </c>
      <c r="S254" s="148">
        <v>201905</v>
      </c>
      <c r="T254" s="148">
        <v>201906</v>
      </c>
      <c r="U254" s="148">
        <v>201907</v>
      </c>
      <c r="V254" s="148">
        <v>201908</v>
      </c>
      <c r="W254" s="148">
        <v>201909</v>
      </c>
      <c r="X254" s="148">
        <v>201910</v>
      </c>
      <c r="Y254" s="148">
        <v>201911</v>
      </c>
      <c r="Z254" s="148">
        <v>201912</v>
      </c>
      <c r="AA254" s="148"/>
      <c r="AB254" s="148">
        <v>202001</v>
      </c>
      <c r="AC254" s="148">
        <v>202002</v>
      </c>
      <c r="AD254" s="148">
        <v>202003</v>
      </c>
      <c r="AE254" s="148">
        <v>202004</v>
      </c>
      <c r="AF254" s="148">
        <v>202005</v>
      </c>
      <c r="AG254" s="148">
        <v>202006</v>
      </c>
      <c r="AH254" s="148">
        <v>202007</v>
      </c>
      <c r="AI254" s="148">
        <v>202008</v>
      </c>
      <c r="AJ254" s="148">
        <v>202009</v>
      </c>
      <c r="AK254" s="148">
        <v>202010</v>
      </c>
      <c r="AL254" s="148">
        <v>202011</v>
      </c>
      <c r="AM254" s="148">
        <v>202012</v>
      </c>
      <c r="AN254" s="148"/>
    </row>
    <row r="255" spans="1:40" ht="10.199999999999999" x14ac:dyDescent="0.2">
      <c r="A255" s="147" t="s">
        <v>658</v>
      </c>
      <c r="B255" s="148">
        <v>201801</v>
      </c>
      <c r="C255" s="148">
        <v>201801</v>
      </c>
      <c r="D255" s="148">
        <v>201801</v>
      </c>
      <c r="E255" s="148">
        <v>201801</v>
      </c>
      <c r="F255" s="148">
        <v>201801</v>
      </c>
      <c r="G255" s="148">
        <v>201801</v>
      </c>
      <c r="H255" s="148">
        <v>201801</v>
      </c>
      <c r="I255" s="148">
        <v>201801</v>
      </c>
      <c r="J255" s="148">
        <v>201801</v>
      </c>
      <c r="K255" s="148">
        <v>201801</v>
      </c>
      <c r="L255" s="148">
        <v>201801</v>
      </c>
      <c r="M255" s="148">
        <v>201801</v>
      </c>
      <c r="N255" s="148"/>
      <c r="O255" s="148">
        <v>201801</v>
      </c>
      <c r="P255" s="148">
        <v>201801</v>
      </c>
      <c r="Q255" s="148">
        <v>201801</v>
      </c>
      <c r="R255" s="148">
        <v>201801</v>
      </c>
      <c r="S255" s="148">
        <v>201801</v>
      </c>
      <c r="T255" s="148">
        <v>201801</v>
      </c>
      <c r="U255" s="148">
        <v>201801</v>
      </c>
      <c r="V255" s="148">
        <v>201801</v>
      </c>
      <c r="W255" s="148">
        <v>201801</v>
      </c>
      <c r="X255" s="148">
        <v>201801</v>
      </c>
      <c r="Y255" s="148">
        <v>201801</v>
      </c>
      <c r="Z255" s="148">
        <v>201801</v>
      </c>
      <c r="AA255" s="148"/>
      <c r="AB255" s="148">
        <v>201801</v>
      </c>
      <c r="AC255" s="148">
        <v>201801</v>
      </c>
      <c r="AD255" s="148">
        <v>201801</v>
      </c>
      <c r="AE255" s="148">
        <v>201801</v>
      </c>
      <c r="AF255" s="148">
        <v>201801</v>
      </c>
      <c r="AG255" s="148">
        <v>201801</v>
      </c>
      <c r="AH255" s="148">
        <v>201801</v>
      </c>
      <c r="AI255" s="148">
        <v>201801</v>
      </c>
      <c r="AJ255" s="148">
        <v>201801</v>
      </c>
      <c r="AK255" s="148">
        <v>201801</v>
      </c>
      <c r="AL255" s="148">
        <v>201801</v>
      </c>
      <c r="AM255" s="148">
        <v>201801</v>
      </c>
      <c r="AN255" s="148"/>
    </row>
    <row r="256" spans="1:40" ht="10.199999999999999" x14ac:dyDescent="0.2">
      <c r="A256" s="147" t="s">
        <v>659</v>
      </c>
      <c r="B256" s="148">
        <v>201702</v>
      </c>
      <c r="C256" s="148">
        <v>201702</v>
      </c>
      <c r="D256" s="148">
        <v>201702</v>
      </c>
      <c r="E256" s="148">
        <v>201702</v>
      </c>
      <c r="F256" s="148">
        <v>201702</v>
      </c>
      <c r="G256" s="148">
        <v>201702</v>
      </c>
      <c r="H256" s="148">
        <v>201702</v>
      </c>
      <c r="I256" s="148">
        <v>201702</v>
      </c>
      <c r="J256" s="148">
        <v>201702</v>
      </c>
      <c r="K256" s="148">
        <v>201702</v>
      </c>
      <c r="L256" s="148">
        <v>201702</v>
      </c>
      <c r="M256" s="148">
        <v>201702</v>
      </c>
      <c r="N256" s="148"/>
      <c r="O256" s="148">
        <v>201702</v>
      </c>
      <c r="P256" s="148">
        <v>201702</v>
      </c>
      <c r="Q256" s="148">
        <v>201702</v>
      </c>
      <c r="R256" s="148">
        <v>201702</v>
      </c>
      <c r="S256" s="148">
        <v>201702</v>
      </c>
      <c r="T256" s="148">
        <v>201702</v>
      </c>
      <c r="U256" s="148">
        <v>201702</v>
      </c>
      <c r="V256" s="148">
        <v>201702</v>
      </c>
      <c r="W256" s="148">
        <v>201702</v>
      </c>
      <c r="X256" s="148">
        <v>201702</v>
      </c>
      <c r="Y256" s="148">
        <v>201702</v>
      </c>
      <c r="Z256" s="148">
        <v>201702</v>
      </c>
      <c r="AA256" s="148"/>
      <c r="AB256" s="148">
        <v>201702</v>
      </c>
      <c r="AC256" s="148">
        <v>201702</v>
      </c>
      <c r="AD256" s="148">
        <v>201702</v>
      </c>
      <c r="AE256" s="148">
        <v>201702</v>
      </c>
      <c r="AF256" s="148">
        <v>201702</v>
      </c>
      <c r="AG256" s="148">
        <v>201702</v>
      </c>
      <c r="AH256" s="148">
        <v>201702</v>
      </c>
      <c r="AI256" s="148">
        <v>201702</v>
      </c>
      <c r="AJ256" s="148">
        <v>201702</v>
      </c>
      <c r="AK256" s="148">
        <v>201702</v>
      </c>
      <c r="AL256" s="148">
        <v>201702</v>
      </c>
      <c r="AM256" s="148">
        <v>201702</v>
      </c>
      <c r="AN256" s="148"/>
    </row>
    <row r="257" spans="1:40" ht="10.199999999999999" x14ac:dyDescent="0.2">
      <c r="A257" s="147" t="s">
        <v>660</v>
      </c>
      <c r="B257" s="148">
        <v>0.21</v>
      </c>
      <c r="C257" s="148">
        <v>0.21</v>
      </c>
      <c r="D257" s="148">
        <v>0.21</v>
      </c>
      <c r="E257" s="148">
        <v>0.21</v>
      </c>
      <c r="F257" s="148">
        <v>0.21</v>
      </c>
      <c r="G257" s="148">
        <v>0.21</v>
      </c>
      <c r="H257" s="148">
        <v>0.21</v>
      </c>
      <c r="I257" s="148">
        <v>0.21</v>
      </c>
      <c r="J257" s="148">
        <v>0.21</v>
      </c>
      <c r="K257" s="148">
        <v>0.21</v>
      </c>
      <c r="L257" s="148">
        <v>0.21</v>
      </c>
      <c r="M257" s="148">
        <v>0.21</v>
      </c>
      <c r="N257" s="148"/>
      <c r="O257" s="148">
        <v>0.21</v>
      </c>
      <c r="P257" s="148">
        <v>0.21</v>
      </c>
      <c r="Q257" s="148">
        <v>0.21</v>
      </c>
      <c r="R257" s="148">
        <v>0.21</v>
      </c>
      <c r="S257" s="148">
        <v>0.21</v>
      </c>
      <c r="T257" s="148">
        <v>0.21</v>
      </c>
      <c r="U257" s="148">
        <v>0.21</v>
      </c>
      <c r="V257" s="148">
        <v>0.21</v>
      </c>
      <c r="W257" s="148">
        <v>0.21</v>
      </c>
      <c r="X257" s="148">
        <v>0.21</v>
      </c>
      <c r="Y257" s="148">
        <v>0.21</v>
      </c>
      <c r="Z257" s="148">
        <v>0.21</v>
      </c>
      <c r="AA257" s="148"/>
      <c r="AB257" s="148">
        <v>0.21</v>
      </c>
      <c r="AC257" s="148">
        <v>0.21</v>
      </c>
      <c r="AD257" s="148">
        <v>0.21</v>
      </c>
      <c r="AE257" s="148">
        <v>0.21</v>
      </c>
      <c r="AF257" s="148">
        <v>0.21</v>
      </c>
      <c r="AG257" s="148">
        <v>0.21</v>
      </c>
      <c r="AH257" s="148">
        <v>0.21</v>
      </c>
      <c r="AI257" s="148">
        <v>0.21</v>
      </c>
      <c r="AJ257" s="148">
        <v>0.21</v>
      </c>
      <c r="AK257" s="148">
        <v>0.21</v>
      </c>
      <c r="AL257" s="148">
        <v>0.21</v>
      </c>
      <c r="AM257" s="148">
        <v>0.21</v>
      </c>
      <c r="AN257" s="148"/>
    </row>
    <row r="258" spans="1:40" ht="14.4" x14ac:dyDescent="0.3">
      <c r="A258" s="147" t="s">
        <v>661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ht="10.199999999999999" x14ac:dyDescent="0.2">
      <c r="A259" s="147" t="s">
        <v>662</v>
      </c>
      <c r="B259" s="148">
        <v>42047.899449999997</v>
      </c>
      <c r="C259" s="148">
        <v>26637.059309999899</v>
      </c>
      <c r="D259" s="148">
        <v>23758.578990000002</v>
      </c>
      <c r="E259" s="148">
        <v>10102.8509399999</v>
      </c>
      <c r="F259" s="148">
        <v>23986.957549999999</v>
      </c>
      <c r="G259" s="148">
        <v>27401.692070000001</v>
      </c>
      <c r="H259" s="148">
        <v>29887.107069154601</v>
      </c>
      <c r="I259" s="148">
        <v>27206.440757702101</v>
      </c>
      <c r="J259" s="148">
        <v>19838.855298149501</v>
      </c>
      <c r="K259" s="148">
        <v>8778.7069269043805</v>
      </c>
      <c r="L259" s="148">
        <v>16129.546910564901</v>
      </c>
      <c r="M259" s="148">
        <v>27769.907637365799</v>
      </c>
      <c r="N259" s="148"/>
      <c r="O259" s="148">
        <v>33060.288187319798</v>
      </c>
      <c r="P259" s="148">
        <v>28115.190824126901</v>
      </c>
      <c r="Q259" s="148">
        <v>20170.302894754699</v>
      </c>
      <c r="R259" s="148">
        <v>8676.7072320703301</v>
      </c>
      <c r="S259" s="148">
        <v>16233.197065796399</v>
      </c>
      <c r="T259" s="148">
        <v>21682.497110114298</v>
      </c>
      <c r="U259" s="148">
        <v>26092.191601224498</v>
      </c>
      <c r="V259" s="148">
        <v>27228.827807755701</v>
      </c>
      <c r="W259" s="148">
        <v>14638.045733446101</v>
      </c>
      <c r="X259" s="148">
        <v>9233.2831663996894</v>
      </c>
      <c r="Y259" s="148">
        <v>17693.7774945489</v>
      </c>
      <c r="Z259" s="148">
        <v>29157.495980965501</v>
      </c>
      <c r="AA259" s="148"/>
      <c r="AB259" s="148">
        <v>36149.256353820703</v>
      </c>
      <c r="AC259" s="148">
        <v>31270.814547791</v>
      </c>
      <c r="AD259" s="148">
        <v>21478.1822656242</v>
      </c>
      <c r="AE259" s="148">
        <v>9806.8957125821307</v>
      </c>
      <c r="AF259" s="148">
        <v>16104.547175670499</v>
      </c>
      <c r="AG259" s="148">
        <v>19370.642157325499</v>
      </c>
      <c r="AH259" s="148">
        <v>25467.7144535515</v>
      </c>
      <c r="AI259" s="148">
        <v>29162.150562250499</v>
      </c>
      <c r="AJ259" s="148">
        <v>17943.949909557199</v>
      </c>
      <c r="AK259" s="148">
        <v>8047.8510433307802</v>
      </c>
      <c r="AL259" s="148">
        <v>16081.6894925344</v>
      </c>
      <c r="AM259" s="148">
        <v>26024.191256628499</v>
      </c>
      <c r="AN259" s="148"/>
    </row>
    <row r="260" spans="1:40" ht="10.199999999999999" x14ac:dyDescent="0.2">
      <c r="A260" s="147" t="s">
        <v>663</v>
      </c>
      <c r="B260" s="148">
        <v>0</v>
      </c>
      <c r="C260" s="148">
        <v>0</v>
      </c>
      <c r="D260" s="148">
        <v>0</v>
      </c>
      <c r="E260" s="148">
        <v>0</v>
      </c>
      <c r="F260" s="148">
        <v>0</v>
      </c>
      <c r="G260" s="148">
        <v>0</v>
      </c>
      <c r="H260" s="148">
        <v>0</v>
      </c>
      <c r="I260" s="148">
        <v>0</v>
      </c>
      <c r="J260" s="148">
        <v>0</v>
      </c>
      <c r="K260" s="148">
        <v>0</v>
      </c>
      <c r="L260" s="148">
        <v>0</v>
      </c>
      <c r="M260" s="148">
        <v>0</v>
      </c>
      <c r="N260" s="148"/>
      <c r="O260" s="148">
        <v>0</v>
      </c>
      <c r="P260" s="148">
        <v>0</v>
      </c>
      <c r="Q260" s="148">
        <v>0</v>
      </c>
      <c r="R260" s="148">
        <v>0</v>
      </c>
      <c r="S260" s="148">
        <v>0</v>
      </c>
      <c r="T260" s="148">
        <v>0</v>
      </c>
      <c r="U260" s="148">
        <v>0</v>
      </c>
      <c r="V260" s="148">
        <v>0</v>
      </c>
      <c r="W260" s="148">
        <v>0</v>
      </c>
      <c r="X260" s="148">
        <v>0</v>
      </c>
      <c r="Y260" s="148">
        <v>0</v>
      </c>
      <c r="Z260" s="148">
        <v>0</v>
      </c>
      <c r="AA260" s="148"/>
      <c r="AB260" s="148">
        <v>0</v>
      </c>
      <c r="AC260" s="148">
        <v>0</v>
      </c>
      <c r="AD260" s="148">
        <v>0</v>
      </c>
      <c r="AE260" s="148">
        <v>0</v>
      </c>
      <c r="AF260" s="148">
        <v>0</v>
      </c>
      <c r="AG260" s="148">
        <v>0</v>
      </c>
      <c r="AH260" s="148">
        <v>0</v>
      </c>
      <c r="AI260" s="148">
        <v>0</v>
      </c>
      <c r="AJ260" s="148">
        <v>0</v>
      </c>
      <c r="AK260" s="148">
        <v>0</v>
      </c>
      <c r="AL260" s="148">
        <v>0</v>
      </c>
      <c r="AM260" s="148">
        <v>0</v>
      </c>
      <c r="AN260" s="148"/>
    </row>
    <row r="261" spans="1:40" ht="10.199999999999999" x14ac:dyDescent="0.2">
      <c r="A261" s="147" t="s">
        <v>664</v>
      </c>
      <c r="B261" s="148">
        <v>0</v>
      </c>
      <c r="C261" s="148">
        <v>0</v>
      </c>
      <c r="D261" s="148">
        <v>0</v>
      </c>
      <c r="E261" s="148">
        <v>0</v>
      </c>
      <c r="F261" s="148">
        <v>0</v>
      </c>
      <c r="G261" s="148">
        <v>0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8"/>
      <c r="O261" s="148">
        <v>0</v>
      </c>
      <c r="P261" s="148">
        <v>0</v>
      </c>
      <c r="Q261" s="148">
        <v>0</v>
      </c>
      <c r="R261" s="148">
        <v>0</v>
      </c>
      <c r="S261" s="148">
        <v>0</v>
      </c>
      <c r="T261" s="148">
        <v>0</v>
      </c>
      <c r="U261" s="148">
        <v>0</v>
      </c>
      <c r="V261" s="148">
        <v>0</v>
      </c>
      <c r="W261" s="148">
        <v>0</v>
      </c>
      <c r="X261" s="148">
        <v>0</v>
      </c>
      <c r="Y261" s="148">
        <v>0</v>
      </c>
      <c r="Z261" s="148">
        <v>0</v>
      </c>
      <c r="AA261" s="148"/>
      <c r="AB261" s="148">
        <v>0</v>
      </c>
      <c r="AC261" s="148">
        <v>0</v>
      </c>
      <c r="AD261" s="148">
        <v>0</v>
      </c>
      <c r="AE261" s="148">
        <v>0</v>
      </c>
      <c r="AF261" s="148">
        <v>0</v>
      </c>
      <c r="AG261" s="148">
        <v>0</v>
      </c>
      <c r="AH261" s="148">
        <v>0</v>
      </c>
      <c r="AI261" s="148">
        <v>0</v>
      </c>
      <c r="AJ261" s="148">
        <v>0</v>
      </c>
      <c r="AK261" s="148">
        <v>0</v>
      </c>
      <c r="AL261" s="148">
        <v>0</v>
      </c>
      <c r="AM261" s="148">
        <v>0</v>
      </c>
      <c r="AN261" s="148"/>
    </row>
    <row r="262" spans="1:40" ht="10.199999999999999" x14ac:dyDescent="0.2">
      <c r="A262" s="147" t="s">
        <v>665</v>
      </c>
      <c r="B262" s="148">
        <v>42047.899449999997</v>
      </c>
      <c r="C262" s="148">
        <v>26637.059309999899</v>
      </c>
      <c r="D262" s="148">
        <v>23758.578990000002</v>
      </c>
      <c r="E262" s="148">
        <v>10102.8509399999</v>
      </c>
      <c r="F262" s="148">
        <v>23986.957549999999</v>
      </c>
      <c r="G262" s="148">
        <v>27401.692070000001</v>
      </c>
      <c r="H262" s="148">
        <v>29887.107069154601</v>
      </c>
      <c r="I262" s="148">
        <v>27206.440757702101</v>
      </c>
      <c r="J262" s="148">
        <v>19838.855298149501</v>
      </c>
      <c r="K262" s="148">
        <v>8778.7069269043805</v>
      </c>
      <c r="L262" s="148">
        <v>16129.546910564901</v>
      </c>
      <c r="M262" s="148">
        <v>27769.907637365799</v>
      </c>
      <c r="N262" s="148"/>
      <c r="O262" s="148">
        <v>33060.288187319798</v>
      </c>
      <c r="P262" s="148">
        <v>28115.190824126901</v>
      </c>
      <c r="Q262" s="148">
        <v>20170.302894754699</v>
      </c>
      <c r="R262" s="148">
        <v>8676.7072320703301</v>
      </c>
      <c r="S262" s="148">
        <v>16233.197065796399</v>
      </c>
      <c r="T262" s="148">
        <v>21682.497110114298</v>
      </c>
      <c r="U262" s="148">
        <v>26092.191601224498</v>
      </c>
      <c r="V262" s="148">
        <v>27228.827807755701</v>
      </c>
      <c r="W262" s="148">
        <v>14638.045733446101</v>
      </c>
      <c r="X262" s="148">
        <v>9233.2831663996894</v>
      </c>
      <c r="Y262" s="148">
        <v>17693.7774945489</v>
      </c>
      <c r="Z262" s="148">
        <v>29157.495980965501</v>
      </c>
      <c r="AA262" s="148"/>
      <c r="AB262" s="148">
        <v>36149.256353820703</v>
      </c>
      <c r="AC262" s="148">
        <v>31270.814547791</v>
      </c>
      <c r="AD262" s="148">
        <v>21478.1822656242</v>
      </c>
      <c r="AE262" s="148">
        <v>9806.8957125821307</v>
      </c>
      <c r="AF262" s="148">
        <v>16104.547175670499</v>
      </c>
      <c r="AG262" s="148">
        <v>19370.642157325499</v>
      </c>
      <c r="AH262" s="148">
        <v>25467.7144535515</v>
      </c>
      <c r="AI262" s="148">
        <v>29162.150562250499</v>
      </c>
      <c r="AJ262" s="148">
        <v>17943.949909557199</v>
      </c>
      <c r="AK262" s="148">
        <v>8047.8510433307802</v>
      </c>
      <c r="AL262" s="148">
        <v>16081.6894925344</v>
      </c>
      <c r="AM262" s="148">
        <v>26024.191256628499</v>
      </c>
      <c r="AN262" s="148"/>
    </row>
    <row r="263" spans="1:40" ht="14.4" x14ac:dyDescent="0.3">
      <c r="A263" s="147" t="s">
        <v>666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ht="14.4" x14ac:dyDescent="0.3">
      <c r="A264" s="149" t="s">
        <v>667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ht="10.199999999999999" x14ac:dyDescent="0.2">
      <c r="A265" s="147" t="s">
        <v>668</v>
      </c>
      <c r="B265" s="148">
        <v>39.616390000000003</v>
      </c>
      <c r="C265" s="148">
        <v>57.293759999999999</v>
      </c>
      <c r="D265" s="148">
        <v>286.21185000000003</v>
      </c>
      <c r="E265" s="148">
        <v>54.489100000000001</v>
      </c>
      <c r="F265" s="148">
        <v>36.773529999999901</v>
      </c>
      <c r="G265" s="148">
        <v>402.34719999999999</v>
      </c>
      <c r="H265" s="148">
        <v>60.927</v>
      </c>
      <c r="I265" s="148">
        <v>57.146999999999998</v>
      </c>
      <c r="J265" s="148">
        <v>353.01</v>
      </c>
      <c r="K265" s="148">
        <v>67.748999999999995</v>
      </c>
      <c r="L265" s="148">
        <v>56.820999999999998</v>
      </c>
      <c r="M265" s="148">
        <v>351.08499999999998</v>
      </c>
      <c r="N265" s="148"/>
      <c r="O265" s="148">
        <v>89.799000000000007</v>
      </c>
      <c r="P265" s="148">
        <v>52.71</v>
      </c>
      <c r="Q265" s="148">
        <v>247.12</v>
      </c>
      <c r="R265" s="148">
        <v>55.988999999999997</v>
      </c>
      <c r="S265" s="148">
        <v>55.948999999999998</v>
      </c>
      <c r="T265" s="148">
        <v>245.113</v>
      </c>
      <c r="U265" s="148">
        <v>59.170999999999999</v>
      </c>
      <c r="V265" s="148">
        <v>55.673999999999999</v>
      </c>
      <c r="W265" s="148">
        <v>253.023</v>
      </c>
      <c r="X265" s="148">
        <v>59.783999999999999</v>
      </c>
      <c r="Y265" s="148">
        <v>50.808</v>
      </c>
      <c r="Z265" s="148">
        <v>270.387</v>
      </c>
      <c r="AA265" s="148"/>
      <c r="AB265" s="148">
        <v>90.620999999999995</v>
      </c>
      <c r="AC265" s="148">
        <v>53.466999999999999</v>
      </c>
      <c r="AD265" s="148">
        <v>249.136</v>
      </c>
      <c r="AE265" s="148">
        <v>56.789000000000001</v>
      </c>
      <c r="AF265" s="148">
        <v>54.39</v>
      </c>
      <c r="AG265" s="148">
        <v>248.309</v>
      </c>
      <c r="AH265" s="148">
        <v>60.042000000000002</v>
      </c>
      <c r="AI265" s="148">
        <v>55.325999999999901</v>
      </c>
      <c r="AJ265" s="148">
        <v>255.03700000000001</v>
      </c>
      <c r="AK265" s="148">
        <v>59.471999999999902</v>
      </c>
      <c r="AL265" s="148">
        <v>51.555999999999997</v>
      </c>
      <c r="AM265" s="148">
        <v>272.35899999999998</v>
      </c>
      <c r="AN265" s="148"/>
    </row>
    <row r="266" spans="1:40" ht="10.199999999999999" x14ac:dyDescent="0.2">
      <c r="A266" s="147" t="s">
        <v>669</v>
      </c>
      <c r="B266" s="148">
        <v>0</v>
      </c>
      <c r="C266" s="148">
        <v>0</v>
      </c>
      <c r="D266" s="148">
        <v>0</v>
      </c>
      <c r="E266" s="148">
        <v>0</v>
      </c>
      <c r="F266" s="148">
        <v>0</v>
      </c>
      <c r="G266" s="148">
        <v>0</v>
      </c>
      <c r="H266" s="148">
        <v>0</v>
      </c>
      <c r="I266" s="148">
        <v>0</v>
      </c>
      <c r="J266" s="148">
        <v>0</v>
      </c>
      <c r="K266" s="148">
        <v>0</v>
      </c>
      <c r="L266" s="148">
        <v>0</v>
      </c>
      <c r="M266" s="148">
        <v>0</v>
      </c>
      <c r="N266" s="148"/>
      <c r="O266" s="148">
        <v>0</v>
      </c>
      <c r="P266" s="148">
        <v>0</v>
      </c>
      <c r="Q266" s="148">
        <v>0</v>
      </c>
      <c r="R266" s="148">
        <v>0</v>
      </c>
      <c r="S266" s="148">
        <v>0</v>
      </c>
      <c r="T266" s="148">
        <v>0</v>
      </c>
      <c r="U266" s="148">
        <v>0</v>
      </c>
      <c r="V266" s="148">
        <v>0</v>
      </c>
      <c r="W266" s="148">
        <v>0</v>
      </c>
      <c r="X266" s="148">
        <v>0</v>
      </c>
      <c r="Y266" s="148">
        <v>0</v>
      </c>
      <c r="Z266" s="148">
        <v>0</v>
      </c>
      <c r="AA266" s="148"/>
      <c r="AB266" s="148">
        <v>0</v>
      </c>
      <c r="AC266" s="148">
        <v>0</v>
      </c>
      <c r="AD266" s="148">
        <v>0</v>
      </c>
      <c r="AE266" s="148">
        <v>0</v>
      </c>
      <c r="AF266" s="148">
        <v>0</v>
      </c>
      <c r="AG266" s="148">
        <v>0</v>
      </c>
      <c r="AH266" s="148">
        <v>0</v>
      </c>
      <c r="AI266" s="148">
        <v>0</v>
      </c>
      <c r="AJ266" s="148">
        <v>0</v>
      </c>
      <c r="AK266" s="148">
        <v>0</v>
      </c>
      <c r="AL266" s="148">
        <v>0</v>
      </c>
      <c r="AM266" s="148">
        <v>0</v>
      </c>
      <c r="AN266" s="148"/>
    </row>
    <row r="267" spans="1:40" ht="10.199999999999999" x14ac:dyDescent="0.2">
      <c r="A267" s="146" t="s">
        <v>670</v>
      </c>
      <c r="B267" s="148">
        <v>39.616390000000003</v>
      </c>
      <c r="C267" s="148">
        <v>57.293759999999999</v>
      </c>
      <c r="D267" s="148">
        <v>286.21185000000003</v>
      </c>
      <c r="E267" s="148">
        <v>54.489100000000001</v>
      </c>
      <c r="F267" s="148">
        <v>36.773529999999901</v>
      </c>
      <c r="G267" s="148">
        <v>402.34719999999999</v>
      </c>
      <c r="H267" s="148">
        <v>60.927</v>
      </c>
      <c r="I267" s="148">
        <v>57.146999999999998</v>
      </c>
      <c r="J267" s="148">
        <v>353.01</v>
      </c>
      <c r="K267" s="148">
        <v>67.748999999999995</v>
      </c>
      <c r="L267" s="148">
        <v>56.820999999999998</v>
      </c>
      <c r="M267" s="148">
        <v>351.08499999999998</v>
      </c>
      <c r="N267" s="148"/>
      <c r="O267" s="148">
        <v>89.799000000000007</v>
      </c>
      <c r="P267" s="148">
        <v>52.71</v>
      </c>
      <c r="Q267" s="148">
        <v>247.12</v>
      </c>
      <c r="R267" s="148">
        <v>55.988999999999997</v>
      </c>
      <c r="S267" s="148">
        <v>55.948999999999998</v>
      </c>
      <c r="T267" s="148">
        <v>245.113</v>
      </c>
      <c r="U267" s="148">
        <v>59.170999999999999</v>
      </c>
      <c r="V267" s="148">
        <v>55.673999999999999</v>
      </c>
      <c r="W267" s="148">
        <v>253.023</v>
      </c>
      <c r="X267" s="148">
        <v>59.783999999999999</v>
      </c>
      <c r="Y267" s="148">
        <v>50.808</v>
      </c>
      <c r="Z267" s="148">
        <v>270.387</v>
      </c>
      <c r="AA267" s="148"/>
      <c r="AB267" s="148">
        <v>90.620999999999995</v>
      </c>
      <c r="AC267" s="148">
        <v>53.466999999999999</v>
      </c>
      <c r="AD267" s="148">
        <v>249.136</v>
      </c>
      <c r="AE267" s="148">
        <v>56.789000000000001</v>
      </c>
      <c r="AF267" s="148">
        <v>54.39</v>
      </c>
      <c r="AG267" s="148">
        <v>248.309</v>
      </c>
      <c r="AH267" s="148">
        <v>60.042000000000002</v>
      </c>
      <c r="AI267" s="148">
        <v>55.325999999999901</v>
      </c>
      <c r="AJ267" s="148">
        <v>255.03700000000001</v>
      </c>
      <c r="AK267" s="148">
        <v>59.471999999999902</v>
      </c>
      <c r="AL267" s="148">
        <v>51.555999999999997</v>
      </c>
      <c r="AM267" s="148">
        <v>272.35899999999998</v>
      </c>
      <c r="AN267" s="148"/>
    </row>
    <row r="268" spans="1:40" ht="14.4" x14ac:dyDescent="0.3">
      <c r="A268" s="147" t="s">
        <v>671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ht="14.4" x14ac:dyDescent="0.3">
      <c r="A269" s="149" t="s">
        <v>672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ht="10.199999999999999" x14ac:dyDescent="0.2">
      <c r="A270" s="147" t="s">
        <v>673</v>
      </c>
      <c r="B270" s="148">
        <v>35497.378941421099</v>
      </c>
      <c r="C270" s="148">
        <v>16897.598024019</v>
      </c>
      <c r="D270" s="148">
        <v>9711.2702778294297</v>
      </c>
      <c r="E270" s="148">
        <v>12771.906850831499</v>
      </c>
      <c r="F270" s="148">
        <v>18359.981731581502</v>
      </c>
      <c r="G270" s="148">
        <v>10864.390640629401</v>
      </c>
      <c r="H270" s="148">
        <v>14037.303593734399</v>
      </c>
      <c r="I270" s="148">
        <v>13219.9599118325</v>
      </c>
      <c r="J270" s="148">
        <v>6848.6680030216203</v>
      </c>
      <c r="K270" s="148">
        <v>9514.6417999266396</v>
      </c>
      <c r="L270" s="148">
        <v>17169.2358353337</v>
      </c>
      <c r="M270" s="148">
        <v>8983.0492896916003</v>
      </c>
      <c r="N270" s="148"/>
      <c r="O270" s="148">
        <v>13366.625618821299</v>
      </c>
      <c r="P270" s="148">
        <v>12752.229981255799</v>
      </c>
      <c r="Q270" s="148">
        <v>6301.8326620081998</v>
      </c>
      <c r="R270" s="148">
        <v>9389.63807099529</v>
      </c>
      <c r="S270" s="148">
        <v>13106.796179966899</v>
      </c>
      <c r="T270" s="148">
        <v>11274.597482209199</v>
      </c>
      <c r="U270" s="148">
        <v>20319.972947537601</v>
      </c>
      <c r="V270" s="148">
        <v>16863.5687503638</v>
      </c>
      <c r="W270" s="148">
        <v>10203.196925857999</v>
      </c>
      <c r="X270" s="148">
        <v>14068.4793809728</v>
      </c>
      <c r="Y270" s="148">
        <v>18680.557673129199</v>
      </c>
      <c r="Z270" s="148">
        <v>11686.4647835961</v>
      </c>
      <c r="AA270" s="148"/>
      <c r="AB270" s="148">
        <v>21421.537673012899</v>
      </c>
      <c r="AC270" s="148">
        <v>20692.157189885002</v>
      </c>
      <c r="AD270" s="148">
        <v>13970.903677195</v>
      </c>
      <c r="AE270" s="148">
        <v>18070.055659826201</v>
      </c>
      <c r="AF270" s="148">
        <v>21466.6844463694</v>
      </c>
      <c r="AG270" s="148">
        <v>14278.3572959634</v>
      </c>
      <c r="AH270" s="148">
        <v>20706.641871989799</v>
      </c>
      <c r="AI270" s="148">
        <v>19776.2612666481</v>
      </c>
      <c r="AJ270" s="148">
        <v>12102.3597820799</v>
      </c>
      <c r="AK270" s="148">
        <v>19054.132355813901</v>
      </c>
      <c r="AL270" s="148">
        <v>22189.886352100399</v>
      </c>
      <c r="AM270" s="148">
        <v>16321.7804258586</v>
      </c>
      <c r="AN270" s="148"/>
    </row>
    <row r="271" spans="1:40" ht="10.199999999999999" x14ac:dyDescent="0.2">
      <c r="A271" s="147" t="s">
        <v>674</v>
      </c>
      <c r="B271" s="148">
        <v>-19202.917143233401</v>
      </c>
      <c r="C271" s="148">
        <v>-19202.917143233401</v>
      </c>
      <c r="D271" s="148">
        <v>-19202.917143233401</v>
      </c>
      <c r="E271" s="148">
        <v>-19202.917143233401</v>
      </c>
      <c r="F271" s="148">
        <v>-19202.917143233401</v>
      </c>
      <c r="G271" s="148">
        <v>-19202.917143233401</v>
      </c>
      <c r="H271" s="148">
        <v>-19202.917143233401</v>
      </c>
      <c r="I271" s="148">
        <v>-19202.917143233401</v>
      </c>
      <c r="J271" s="148">
        <v>-19202.917143233401</v>
      </c>
      <c r="K271" s="148">
        <v>-19202.917143233401</v>
      </c>
      <c r="L271" s="148">
        <v>-19202.917143233401</v>
      </c>
      <c r="M271" s="148">
        <v>-19202.917143233401</v>
      </c>
      <c r="N271" s="148"/>
      <c r="O271" s="148">
        <v>-22537.9282233185</v>
      </c>
      <c r="P271" s="148">
        <v>-22537.9282233185</v>
      </c>
      <c r="Q271" s="148">
        <v>-22537.9282233185</v>
      </c>
      <c r="R271" s="148">
        <v>-22537.9282233185</v>
      </c>
      <c r="S271" s="148">
        <v>-22537.9282233185</v>
      </c>
      <c r="T271" s="148">
        <v>-22537.9282233185</v>
      </c>
      <c r="U271" s="148">
        <v>-22537.9282233185</v>
      </c>
      <c r="V271" s="148">
        <v>-22537.9282233185</v>
      </c>
      <c r="W271" s="148">
        <v>-22537.9282233185</v>
      </c>
      <c r="X271" s="148">
        <v>-22537.9282233185</v>
      </c>
      <c r="Y271" s="148">
        <v>-22537.9282233185</v>
      </c>
      <c r="Z271" s="148">
        <v>-22537.9282233185</v>
      </c>
      <c r="AA271" s="148"/>
      <c r="AB271" s="148">
        <v>-24321.339596984901</v>
      </c>
      <c r="AC271" s="148">
        <v>-24321.339596984901</v>
      </c>
      <c r="AD271" s="148">
        <v>-24321.339596984901</v>
      </c>
      <c r="AE271" s="148">
        <v>-24321.339596984901</v>
      </c>
      <c r="AF271" s="148">
        <v>-24321.339596984901</v>
      </c>
      <c r="AG271" s="148">
        <v>-24321.339596984901</v>
      </c>
      <c r="AH271" s="148">
        <v>-24321.339596984901</v>
      </c>
      <c r="AI271" s="148">
        <v>-24321.339596984901</v>
      </c>
      <c r="AJ271" s="148">
        <v>-24321.339596984901</v>
      </c>
      <c r="AK271" s="148">
        <v>-24321.339596984901</v>
      </c>
      <c r="AL271" s="148">
        <v>-24321.339596984901</v>
      </c>
      <c r="AM271" s="148">
        <v>-24321.339596984901</v>
      </c>
      <c r="AN271" s="148"/>
    </row>
    <row r="272" spans="1:40" ht="10.199999999999999" x14ac:dyDescent="0.2">
      <c r="A272" s="147" t="s">
        <v>675</v>
      </c>
      <c r="B272" s="148">
        <v>16294.4617981876</v>
      </c>
      <c r="C272" s="148">
        <v>-2305.3191192144</v>
      </c>
      <c r="D272" s="148">
        <v>-9491.6468654039909</v>
      </c>
      <c r="E272" s="148">
        <v>-6431.0102924019002</v>
      </c>
      <c r="F272" s="148">
        <v>-842.93541165189504</v>
      </c>
      <c r="G272" s="148">
        <v>-8338.5265026039997</v>
      </c>
      <c r="H272" s="148">
        <v>-5165.6135494989603</v>
      </c>
      <c r="I272" s="148">
        <v>-5982.9572314009201</v>
      </c>
      <c r="J272" s="148">
        <v>-12354.249140211799</v>
      </c>
      <c r="K272" s="148">
        <v>-9688.2753433067792</v>
      </c>
      <c r="L272" s="148">
        <v>-2033.6813078996599</v>
      </c>
      <c r="M272" s="148">
        <v>-10219.8678535418</v>
      </c>
      <c r="N272" s="148"/>
      <c r="O272" s="148">
        <v>-9171.3026044971994</v>
      </c>
      <c r="P272" s="148">
        <v>-9785.6982420626591</v>
      </c>
      <c r="Q272" s="148">
        <v>-16236.0955613103</v>
      </c>
      <c r="R272" s="148">
        <v>-13148.290152323199</v>
      </c>
      <c r="S272" s="148">
        <v>-9431.1320433515593</v>
      </c>
      <c r="T272" s="148">
        <v>-11263.330741109199</v>
      </c>
      <c r="U272" s="148">
        <v>-2217.9552757809201</v>
      </c>
      <c r="V272" s="148">
        <v>-5674.3594729546603</v>
      </c>
      <c r="W272" s="148">
        <v>-12334.731297460399</v>
      </c>
      <c r="X272" s="148">
        <v>-8469.4488423456405</v>
      </c>
      <c r="Y272" s="148">
        <v>-3857.3705501893201</v>
      </c>
      <c r="Z272" s="148">
        <v>-10851.4634397223</v>
      </c>
      <c r="AA272" s="148"/>
      <c r="AB272" s="148">
        <v>-2899.8019239720002</v>
      </c>
      <c r="AC272" s="148">
        <v>-3629.1824070999201</v>
      </c>
      <c r="AD272" s="148">
        <v>-10350.435919789899</v>
      </c>
      <c r="AE272" s="148">
        <v>-6251.2839371587297</v>
      </c>
      <c r="AF272" s="148">
        <v>-2854.6551506154901</v>
      </c>
      <c r="AG272" s="148">
        <v>-10042.9823010215</v>
      </c>
      <c r="AH272" s="148">
        <v>-3614.6977249951101</v>
      </c>
      <c r="AI272" s="148">
        <v>-4545.0783303368598</v>
      </c>
      <c r="AJ272" s="148">
        <v>-12218.979814905</v>
      </c>
      <c r="AK272" s="148">
        <v>-5267.2072411710596</v>
      </c>
      <c r="AL272" s="148">
        <v>-2131.4532448844898</v>
      </c>
      <c r="AM272" s="148">
        <v>-7999.5591711263696</v>
      </c>
      <c r="AN272" s="148"/>
    </row>
    <row r="273" spans="1:40" ht="10.199999999999999" x14ac:dyDescent="0.2">
      <c r="A273" s="147" t="s">
        <v>676</v>
      </c>
      <c r="B273" s="148">
        <v>2.1510767582928501</v>
      </c>
      <c r="C273" s="148">
        <v>2.1510767582928501</v>
      </c>
      <c r="D273" s="148">
        <v>2272.50041195424</v>
      </c>
      <c r="E273" s="148">
        <v>2.1510767582928501</v>
      </c>
      <c r="F273" s="148">
        <v>2.1510767582928501</v>
      </c>
      <c r="G273" s="148">
        <v>2135.88441195424</v>
      </c>
      <c r="H273" s="148">
        <v>2.1510767582928501</v>
      </c>
      <c r="I273" s="148">
        <v>2.1510767582928501</v>
      </c>
      <c r="J273" s="148">
        <v>2080.3146821670098</v>
      </c>
      <c r="K273" s="148">
        <v>2.1510767582928501</v>
      </c>
      <c r="L273" s="148">
        <v>2.1510767582928501</v>
      </c>
      <c r="M273" s="148">
        <v>2162.8998353583402</v>
      </c>
      <c r="N273" s="148"/>
      <c r="O273" s="148">
        <v>2.1510767582928501</v>
      </c>
      <c r="P273" s="148">
        <v>2.1510767582928501</v>
      </c>
      <c r="Q273" s="148">
        <v>2679.1938904827098</v>
      </c>
      <c r="R273" s="148">
        <v>2.1510767582928501</v>
      </c>
      <c r="S273" s="148">
        <v>2.1510767582928501</v>
      </c>
      <c r="T273" s="148">
        <v>2679.1938904817198</v>
      </c>
      <c r="U273" s="148">
        <v>2.1510767582928501</v>
      </c>
      <c r="V273" s="148">
        <v>2.1510767582928501</v>
      </c>
      <c r="W273" s="148">
        <v>2679.1938904796998</v>
      </c>
      <c r="X273" s="148">
        <v>2.1510767582928501</v>
      </c>
      <c r="Y273" s="148">
        <v>2.1510767582928501</v>
      </c>
      <c r="Z273" s="148">
        <v>2679.1938904772501</v>
      </c>
      <c r="AA273" s="148"/>
      <c r="AB273" s="148">
        <v>2.1510767582928501</v>
      </c>
      <c r="AC273" s="148">
        <v>2.1510767582928501</v>
      </c>
      <c r="AD273" s="148">
        <v>1932.90973530458</v>
      </c>
      <c r="AE273" s="148">
        <v>2.1510767582928501</v>
      </c>
      <c r="AF273" s="148">
        <v>2.1510767582928501</v>
      </c>
      <c r="AG273" s="148">
        <v>1932.9097352978999</v>
      </c>
      <c r="AH273" s="148">
        <v>2.1510767582928501</v>
      </c>
      <c r="AI273" s="148">
        <v>2.1510767582928501</v>
      </c>
      <c r="AJ273" s="148">
        <v>1932.9097352896899</v>
      </c>
      <c r="AK273" s="148">
        <v>2.1510767582928501</v>
      </c>
      <c r="AL273" s="148">
        <v>2.1510767582928501</v>
      </c>
      <c r="AM273" s="148">
        <v>1932.90973528415</v>
      </c>
      <c r="AN273" s="148"/>
    </row>
    <row r="274" spans="1:40" ht="10.199999999999999" x14ac:dyDescent="0.2">
      <c r="A274" s="147" t="s">
        <v>677</v>
      </c>
      <c r="B274" s="148">
        <v>16296.6128749459</v>
      </c>
      <c r="C274" s="148">
        <v>-2303.16804245611</v>
      </c>
      <c r="D274" s="148">
        <v>-7219.14645344974</v>
      </c>
      <c r="E274" s="148">
        <v>-6428.8592156436098</v>
      </c>
      <c r="F274" s="148">
        <v>-840.78433489360202</v>
      </c>
      <c r="G274" s="148">
        <v>-6202.6420906497497</v>
      </c>
      <c r="H274" s="148">
        <v>-5163.4624727406699</v>
      </c>
      <c r="I274" s="148">
        <v>-5980.8061546426197</v>
      </c>
      <c r="J274" s="148">
        <v>-10273.9344580447</v>
      </c>
      <c r="K274" s="148">
        <v>-9686.1242665484897</v>
      </c>
      <c r="L274" s="148">
        <v>-2031.53023114137</v>
      </c>
      <c r="M274" s="148">
        <v>-8056.9680181834801</v>
      </c>
      <c r="N274" s="148"/>
      <c r="O274" s="148">
        <v>-9169.1515277389099</v>
      </c>
      <c r="P274" s="148">
        <v>-9783.5471653043605</v>
      </c>
      <c r="Q274" s="148">
        <v>-13556.901670827599</v>
      </c>
      <c r="R274" s="148">
        <v>-13146.139075564901</v>
      </c>
      <c r="S274" s="148">
        <v>-9428.9809665932607</v>
      </c>
      <c r="T274" s="148">
        <v>-8584.1368506275194</v>
      </c>
      <c r="U274" s="148">
        <v>-2215.8041990226202</v>
      </c>
      <c r="V274" s="148">
        <v>-5672.2083961963699</v>
      </c>
      <c r="W274" s="148">
        <v>-9655.5374069807494</v>
      </c>
      <c r="X274" s="148">
        <v>-8467.2977655873401</v>
      </c>
      <c r="Y274" s="148">
        <v>-3855.2194734310201</v>
      </c>
      <c r="Z274" s="148">
        <v>-8172.2695492450903</v>
      </c>
      <c r="AA274" s="148"/>
      <c r="AB274" s="148">
        <v>-2897.6508472137102</v>
      </c>
      <c r="AC274" s="148">
        <v>-3627.0313303416201</v>
      </c>
      <c r="AD274" s="148">
        <v>-8417.5261844853503</v>
      </c>
      <c r="AE274" s="148">
        <v>-6249.1328604004402</v>
      </c>
      <c r="AF274" s="148">
        <v>-2852.5040738572002</v>
      </c>
      <c r="AG274" s="148">
        <v>-8110.0725657236399</v>
      </c>
      <c r="AH274" s="148">
        <v>-3612.5466482368201</v>
      </c>
      <c r="AI274" s="148">
        <v>-4542.9272535785703</v>
      </c>
      <c r="AJ274" s="148">
        <v>-10286.0700796153</v>
      </c>
      <c r="AK274" s="148">
        <v>-5265.0561644127702</v>
      </c>
      <c r="AL274" s="148">
        <v>-2129.3021681261998</v>
      </c>
      <c r="AM274" s="148">
        <v>-6066.6494358422196</v>
      </c>
      <c r="AN274" s="148"/>
    </row>
    <row r="275" spans="1:40" ht="10.199999999999999" x14ac:dyDescent="0.2">
      <c r="A275" s="147" t="s">
        <v>678</v>
      </c>
      <c r="B275" s="148">
        <v>-56559.620818955598</v>
      </c>
      <c r="C275" s="148">
        <v>-56559.620818955598</v>
      </c>
      <c r="D275" s="148">
        <v>-56559.620818955598</v>
      </c>
      <c r="E275" s="148">
        <v>-56559.620818955598</v>
      </c>
      <c r="F275" s="148">
        <v>-56559.620818955598</v>
      </c>
      <c r="G275" s="148">
        <v>-56559.620818955598</v>
      </c>
      <c r="H275" s="148">
        <v>-56559.620818955402</v>
      </c>
      <c r="I275" s="148">
        <v>-56559.620818955103</v>
      </c>
      <c r="J275" s="148">
        <v>-56559.6208189553</v>
      </c>
      <c r="K275" s="148">
        <v>-56559.620818955103</v>
      </c>
      <c r="L275" s="148">
        <v>-56559.620818954601</v>
      </c>
      <c r="M275" s="148">
        <v>-56559.620818948497</v>
      </c>
      <c r="N275" s="148"/>
      <c r="O275" s="148">
        <v>-112441.178223275</v>
      </c>
      <c r="P275" s="148">
        <v>-112441.178223273</v>
      </c>
      <c r="Q275" s="148">
        <v>-112441.178223279</v>
      </c>
      <c r="R275" s="148">
        <v>-112441.178223255</v>
      </c>
      <c r="S275" s="148">
        <v>-112441.178223236</v>
      </c>
      <c r="T275" s="148">
        <v>-112441.178223233</v>
      </c>
      <c r="U275" s="148">
        <v>-112441.178223218</v>
      </c>
      <c r="V275" s="148">
        <v>-112441.178223209</v>
      </c>
      <c r="W275" s="148">
        <v>-112441.17822320999</v>
      </c>
      <c r="X275" s="148">
        <v>-112441.178223176</v>
      </c>
      <c r="Y275" s="148">
        <v>-112441.17822316301</v>
      </c>
      <c r="Z275" s="148">
        <v>-112441.178223107</v>
      </c>
      <c r="AA275" s="148"/>
      <c r="AB275" s="148">
        <v>-71805.317167274494</v>
      </c>
      <c r="AC275" s="148">
        <v>-71805.317167244197</v>
      </c>
      <c r="AD275" s="148">
        <v>-71805.3171673779</v>
      </c>
      <c r="AE275" s="148">
        <v>-71805.317167269197</v>
      </c>
      <c r="AF275" s="148">
        <v>-71805.317167182206</v>
      </c>
      <c r="AG275" s="148">
        <v>-71805.3171672116</v>
      </c>
      <c r="AH275" s="148">
        <v>-71805.317167163797</v>
      </c>
      <c r="AI275" s="148">
        <v>-71805.317167132103</v>
      </c>
      <c r="AJ275" s="148">
        <v>-71805.317167180605</v>
      </c>
      <c r="AK275" s="148">
        <v>-71805.317167103203</v>
      </c>
      <c r="AL275" s="148">
        <v>-71805.317167056899</v>
      </c>
      <c r="AM275" s="148">
        <v>-71805.317167076602</v>
      </c>
      <c r="AN275" s="148"/>
    </row>
    <row r="276" spans="1:40" ht="10.199999999999999" x14ac:dyDescent="0.2">
      <c r="A276" s="147" t="s">
        <v>679</v>
      </c>
      <c r="B276" s="148">
        <v>-47890.812863455598</v>
      </c>
      <c r="C276" s="148">
        <v>-47890.812863455598</v>
      </c>
      <c r="D276" s="148">
        <v>-47890.812863455503</v>
      </c>
      <c r="E276" s="148">
        <v>-47890.812863455503</v>
      </c>
      <c r="F276" s="148">
        <v>-47890.812863455503</v>
      </c>
      <c r="G276" s="148">
        <v>-47890.812863455401</v>
      </c>
      <c r="H276" s="148">
        <v>-47890.812863455198</v>
      </c>
      <c r="I276" s="148">
        <v>-47890.812863454899</v>
      </c>
      <c r="J276" s="148">
        <v>-47890.812863454899</v>
      </c>
      <c r="K276" s="148">
        <v>-47890.812863454797</v>
      </c>
      <c r="L276" s="148">
        <v>-47890.812863454201</v>
      </c>
      <c r="M276" s="148">
        <v>-47890.8128634483</v>
      </c>
      <c r="N276" s="148"/>
      <c r="O276" s="148">
        <v>-101707.194047294</v>
      </c>
      <c r="P276" s="148">
        <v>-101707.194047292</v>
      </c>
      <c r="Q276" s="148">
        <v>-101707.19404729</v>
      </c>
      <c r="R276" s="148">
        <v>-101707.19404726601</v>
      </c>
      <c r="S276" s="148">
        <v>-101707.194047246</v>
      </c>
      <c r="T276" s="148">
        <v>-101707.194047239</v>
      </c>
      <c r="U276" s="148">
        <v>-101707.19404722399</v>
      </c>
      <c r="V276" s="148">
        <v>-101707.194047215</v>
      </c>
      <c r="W276" s="148">
        <v>-101707.19404721601</v>
      </c>
      <c r="X276" s="148">
        <v>-101707.194047182</v>
      </c>
      <c r="Y276" s="148">
        <v>-101707.194047169</v>
      </c>
      <c r="Z276" s="148">
        <v>-101707.194047119</v>
      </c>
      <c r="AA276" s="148"/>
      <c r="AB276" s="148">
        <v>-64056.469611993598</v>
      </c>
      <c r="AC276" s="148">
        <v>-64056.469611963301</v>
      </c>
      <c r="AD276" s="148">
        <v>-64056.469612087203</v>
      </c>
      <c r="AE276" s="148">
        <v>-64056.4696119785</v>
      </c>
      <c r="AF276" s="148">
        <v>-64056.469611891502</v>
      </c>
      <c r="AG276" s="148">
        <v>-64056.469611924702</v>
      </c>
      <c r="AH276" s="148">
        <v>-64056.469611876797</v>
      </c>
      <c r="AI276" s="148">
        <v>-64056.469611845198</v>
      </c>
      <c r="AJ276" s="148">
        <v>-64056.4696119121</v>
      </c>
      <c r="AK276" s="148">
        <v>-64056.469611834596</v>
      </c>
      <c r="AL276" s="148">
        <v>-64056.4696117883</v>
      </c>
      <c r="AM276" s="148">
        <v>-64056.469611833898</v>
      </c>
      <c r="AN276" s="148"/>
    </row>
    <row r="277" spans="1:40" ht="10.199999999999999" x14ac:dyDescent="0.2">
      <c r="A277" s="147" t="s">
        <v>680</v>
      </c>
      <c r="B277" s="148">
        <v>0</v>
      </c>
      <c r="C277" s="148">
        <v>0</v>
      </c>
      <c r="D277" s="148">
        <v>-14139.9052047389</v>
      </c>
      <c r="E277" s="148">
        <v>0</v>
      </c>
      <c r="F277" s="148">
        <v>0</v>
      </c>
      <c r="G277" s="148">
        <v>-14139.9052047389</v>
      </c>
      <c r="H277" s="148">
        <v>0</v>
      </c>
      <c r="I277" s="148">
        <v>0</v>
      </c>
      <c r="J277" s="148">
        <v>-14139.9052047388</v>
      </c>
      <c r="K277" s="148">
        <v>0</v>
      </c>
      <c r="L277" s="148">
        <v>0</v>
      </c>
      <c r="M277" s="148">
        <v>-14139.905204737101</v>
      </c>
      <c r="N277" s="148"/>
      <c r="O277" s="148">
        <v>0</v>
      </c>
      <c r="P277" s="148">
        <v>0</v>
      </c>
      <c r="Q277" s="148">
        <v>-28110.294555819899</v>
      </c>
      <c r="R277" s="148">
        <v>0</v>
      </c>
      <c r="S277" s="148">
        <v>0</v>
      </c>
      <c r="T277" s="148">
        <v>-28110.294555808399</v>
      </c>
      <c r="U277" s="148">
        <v>0</v>
      </c>
      <c r="V277" s="148">
        <v>0</v>
      </c>
      <c r="W277" s="148">
        <v>-28110.294555802499</v>
      </c>
      <c r="X277" s="148">
        <v>0</v>
      </c>
      <c r="Y277" s="148">
        <v>0</v>
      </c>
      <c r="Z277" s="148">
        <v>-28110.294555776902</v>
      </c>
      <c r="AA277" s="148"/>
      <c r="AB277" s="148">
        <v>0</v>
      </c>
      <c r="AC277" s="148">
        <v>0</v>
      </c>
      <c r="AD277" s="148">
        <v>-17951.329291844399</v>
      </c>
      <c r="AE277" s="148">
        <v>0</v>
      </c>
      <c r="AF277" s="148">
        <v>0</v>
      </c>
      <c r="AG277" s="148">
        <v>-17951.3292918029</v>
      </c>
      <c r="AH277" s="148">
        <v>0</v>
      </c>
      <c r="AI277" s="148">
        <v>0</v>
      </c>
      <c r="AJ277" s="148">
        <v>-17951.3292917951</v>
      </c>
      <c r="AK277" s="148">
        <v>0</v>
      </c>
      <c r="AL277" s="148">
        <v>0</v>
      </c>
      <c r="AM277" s="148">
        <v>-17951.3292917691</v>
      </c>
      <c r="AN277" s="148"/>
    </row>
    <row r="278" spans="1:40" ht="10.199999999999999" x14ac:dyDescent="0.2">
      <c r="A278" s="147" t="s">
        <v>681</v>
      </c>
      <c r="B278" s="148">
        <v>0</v>
      </c>
      <c r="C278" s="148">
        <v>0</v>
      </c>
      <c r="D278" s="148">
        <v>-11972.703215863799</v>
      </c>
      <c r="E278" s="148">
        <v>0</v>
      </c>
      <c r="F278" s="148">
        <v>0</v>
      </c>
      <c r="G278" s="148">
        <v>-11972.703215863799</v>
      </c>
      <c r="H278" s="148">
        <v>0</v>
      </c>
      <c r="I278" s="148">
        <v>0</v>
      </c>
      <c r="J278" s="148">
        <v>-11972.703215863699</v>
      </c>
      <c r="K278" s="148">
        <v>0</v>
      </c>
      <c r="L278" s="148">
        <v>0</v>
      </c>
      <c r="M278" s="148">
        <v>-11972.703215862</v>
      </c>
      <c r="N278" s="148"/>
      <c r="O278" s="148">
        <v>0</v>
      </c>
      <c r="P278" s="148">
        <v>0</v>
      </c>
      <c r="Q278" s="148">
        <v>-25426.798511822599</v>
      </c>
      <c r="R278" s="148">
        <v>0</v>
      </c>
      <c r="S278" s="148">
        <v>0</v>
      </c>
      <c r="T278" s="148">
        <v>-25426.798511809899</v>
      </c>
      <c r="U278" s="148">
        <v>0</v>
      </c>
      <c r="V278" s="148">
        <v>0</v>
      </c>
      <c r="W278" s="148">
        <v>-25426.7985118041</v>
      </c>
      <c r="X278" s="148">
        <v>0</v>
      </c>
      <c r="Y278" s="148">
        <v>0</v>
      </c>
      <c r="Z278" s="148">
        <v>-25426.7985117799</v>
      </c>
      <c r="AA278" s="148"/>
      <c r="AB278" s="148">
        <v>0</v>
      </c>
      <c r="AC278" s="148">
        <v>0</v>
      </c>
      <c r="AD278" s="148">
        <v>-16014.117403021801</v>
      </c>
      <c r="AE278" s="148">
        <v>0</v>
      </c>
      <c r="AF278" s="148">
        <v>0</v>
      </c>
      <c r="AG278" s="148">
        <v>-16014.117402981101</v>
      </c>
      <c r="AH278" s="148">
        <v>0</v>
      </c>
      <c r="AI278" s="148">
        <v>0</v>
      </c>
      <c r="AJ278" s="148">
        <v>-16014.117402978</v>
      </c>
      <c r="AK278" s="148">
        <v>0</v>
      </c>
      <c r="AL278" s="148">
        <v>0</v>
      </c>
      <c r="AM278" s="148">
        <v>-16014.1174029584</v>
      </c>
      <c r="AN278" s="148"/>
    </row>
    <row r="279" spans="1:40" ht="14.4" x14ac:dyDescent="0.3">
      <c r="A279" s="146" t="s">
        <v>682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ht="10.199999999999999" x14ac:dyDescent="0.2">
      <c r="A280" s="147" t="s">
        <v>683</v>
      </c>
      <c r="B280" s="148">
        <v>2072.7091253333301</v>
      </c>
      <c r="C280" s="148">
        <v>1303.0509868333299</v>
      </c>
      <c r="D280" s="148">
        <v>-1241.1534598626199</v>
      </c>
      <c r="E280" s="148">
        <v>476.20033533333299</v>
      </c>
      <c r="F280" s="148">
        <v>1169.51988733333</v>
      </c>
      <c r="G280" s="148">
        <v>-1053.19103836262</v>
      </c>
      <c r="H280" s="148">
        <v>1465.7350367910601</v>
      </c>
      <c r="I280" s="148">
        <v>1331.51272121844</v>
      </c>
      <c r="J280" s="148">
        <v>-1433.7997369551399</v>
      </c>
      <c r="K280" s="148">
        <v>410.65612967855202</v>
      </c>
      <c r="L280" s="148">
        <v>777.65172886158302</v>
      </c>
      <c r="M280" s="148">
        <v>-1037.34336999417</v>
      </c>
      <c r="N280" s="148"/>
      <c r="O280" s="148">
        <v>1625.8376926993201</v>
      </c>
      <c r="P280" s="148">
        <v>1376.7283745396701</v>
      </c>
      <c r="Q280" s="148">
        <v>-1991.5548015812501</v>
      </c>
      <c r="R280" s="148">
        <v>404.96814493685002</v>
      </c>
      <c r="S280" s="148">
        <v>782.79063662315605</v>
      </c>
      <c r="T280" s="148">
        <v>-1916.04544081227</v>
      </c>
      <c r="U280" s="148">
        <v>1275.9014633945601</v>
      </c>
      <c r="V280" s="148">
        <v>1332.5584237211201</v>
      </c>
      <c r="W280" s="148">
        <v>-2267.8725096436701</v>
      </c>
      <c r="X280" s="148">
        <v>432.986691653317</v>
      </c>
      <c r="Y280" s="148">
        <v>855.56260806078103</v>
      </c>
      <c r="Z280" s="148">
        <v>-1541.0317972652399</v>
      </c>
      <c r="AA280" s="148"/>
      <c r="AB280" s="148">
        <v>1780.32720102436</v>
      </c>
      <c r="AC280" s="148">
        <v>1534.5474107228799</v>
      </c>
      <c r="AD280" s="148">
        <v>-1160.55792877571</v>
      </c>
      <c r="AE280" s="148">
        <v>461.51756896244001</v>
      </c>
      <c r="AF280" s="148">
        <v>776.28019211686103</v>
      </c>
      <c r="AG280" s="148">
        <v>-1265.9762841839699</v>
      </c>
      <c r="AH280" s="148">
        <v>1244.7211560108999</v>
      </c>
      <c r="AI280" s="148">
        <v>1429.20716144586</v>
      </c>
      <c r="AJ280" s="148">
        <v>-1336.9744965641701</v>
      </c>
      <c r="AK280" s="148">
        <v>373.69948549987203</v>
      </c>
      <c r="AL280" s="148">
        <v>774.99560796005699</v>
      </c>
      <c r="AM280" s="148">
        <v>-932.09632920507295</v>
      </c>
      <c r="AN280" s="148"/>
    </row>
    <row r="281" spans="1:40" ht="10.199999999999999" x14ac:dyDescent="0.2">
      <c r="A281" s="147" t="s">
        <v>684</v>
      </c>
      <c r="B281" s="148">
        <v>2.1510767582928501</v>
      </c>
      <c r="C281" s="148">
        <v>2.1510767582928501</v>
      </c>
      <c r="D281" s="148">
        <v>2272.5004119540799</v>
      </c>
      <c r="E281" s="148">
        <v>2.1510767582928501</v>
      </c>
      <c r="F281" s="148">
        <v>2.1510767582928501</v>
      </c>
      <c r="G281" s="148">
        <v>2135.88441195408</v>
      </c>
      <c r="H281" s="148">
        <v>2.1510767582928501</v>
      </c>
      <c r="I281" s="148">
        <v>2.1510767582928501</v>
      </c>
      <c r="J281" s="148">
        <v>2080.3146821668402</v>
      </c>
      <c r="K281" s="148">
        <v>2.1510767582928501</v>
      </c>
      <c r="L281" s="148">
        <v>2.1510767582928501</v>
      </c>
      <c r="M281" s="148">
        <v>2162.8998353582501</v>
      </c>
      <c r="N281" s="148"/>
      <c r="O281" s="148">
        <v>2.1510767582928501</v>
      </c>
      <c r="P281" s="148">
        <v>2.1510767582928501</v>
      </c>
      <c r="Q281" s="148">
        <v>2679.1938904772201</v>
      </c>
      <c r="R281" s="148">
        <v>2.1510767582928501</v>
      </c>
      <c r="S281" s="148">
        <v>2.1510767582928501</v>
      </c>
      <c r="T281" s="148">
        <v>2679.1938904766498</v>
      </c>
      <c r="U281" s="148">
        <v>2.1510767582928501</v>
      </c>
      <c r="V281" s="148">
        <v>2.1510767582928501</v>
      </c>
      <c r="W281" s="148">
        <v>2679.1938904763501</v>
      </c>
      <c r="X281" s="148">
        <v>2.1510767582928501</v>
      </c>
      <c r="Y281" s="148">
        <v>2.1510767582928501</v>
      </c>
      <c r="Z281" s="148">
        <v>2679.19389047507</v>
      </c>
      <c r="AA281" s="148"/>
      <c r="AB281" s="148">
        <v>2.1510767582928501</v>
      </c>
      <c r="AC281" s="148">
        <v>2.1510767582928501</v>
      </c>
      <c r="AD281" s="148">
        <v>1932.9097352844401</v>
      </c>
      <c r="AE281" s="148">
        <v>2.1510767582928501</v>
      </c>
      <c r="AF281" s="148">
        <v>2.1510767582928501</v>
      </c>
      <c r="AG281" s="148">
        <v>1932.9097352823601</v>
      </c>
      <c r="AH281" s="148">
        <v>2.1510767582928501</v>
      </c>
      <c r="AI281" s="148">
        <v>2.1510767582928501</v>
      </c>
      <c r="AJ281" s="148">
        <v>1932.9097352819699</v>
      </c>
      <c r="AK281" s="148">
        <v>2.1510767582928501</v>
      </c>
      <c r="AL281" s="148">
        <v>2.1510767582928501</v>
      </c>
      <c r="AM281" s="148">
        <v>1932.90973528067</v>
      </c>
      <c r="AN281" s="148"/>
    </row>
    <row r="282" spans="1:40" ht="14.4" x14ac:dyDescent="0.3">
      <c r="A282" s="147" t="s">
        <v>685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ht="14.4" x14ac:dyDescent="0.3">
      <c r="A283" s="146" t="s">
        <v>686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ht="10.199999999999999" x14ac:dyDescent="0.2">
      <c r="A284" s="147" t="s">
        <v>687</v>
      </c>
      <c r="B284" s="148">
        <v>42047.899449999997</v>
      </c>
      <c r="C284" s="148">
        <v>26637.059309999899</v>
      </c>
      <c r="D284" s="148">
        <v>23758.578990000002</v>
      </c>
      <c r="E284" s="148">
        <v>10102.8509399999</v>
      </c>
      <c r="F284" s="148">
        <v>23986.957549999999</v>
      </c>
      <c r="G284" s="148">
        <v>27401.692070000001</v>
      </c>
      <c r="H284" s="148">
        <v>29887.107069154601</v>
      </c>
      <c r="I284" s="148">
        <v>27206.440757702101</v>
      </c>
      <c r="J284" s="148">
        <v>19838.855298149501</v>
      </c>
      <c r="K284" s="148">
        <v>8778.7069269043805</v>
      </c>
      <c r="L284" s="148">
        <v>16129.546910564901</v>
      </c>
      <c r="M284" s="148">
        <v>27769.907637365799</v>
      </c>
      <c r="N284" s="148"/>
      <c r="O284" s="148">
        <v>33060.288187319798</v>
      </c>
      <c r="P284" s="148">
        <v>28115.190824126901</v>
      </c>
      <c r="Q284" s="148">
        <v>20170.302894754699</v>
      </c>
      <c r="R284" s="148">
        <v>8676.7072320703301</v>
      </c>
      <c r="S284" s="148">
        <v>16233.197065796399</v>
      </c>
      <c r="T284" s="148">
        <v>21682.497110114298</v>
      </c>
      <c r="U284" s="148">
        <v>26092.191601224498</v>
      </c>
      <c r="V284" s="148">
        <v>27228.827807755701</v>
      </c>
      <c r="W284" s="148">
        <v>14638.045733446101</v>
      </c>
      <c r="X284" s="148">
        <v>9233.2831663996894</v>
      </c>
      <c r="Y284" s="148">
        <v>17693.7774945489</v>
      </c>
      <c r="Z284" s="148">
        <v>29157.495980965501</v>
      </c>
      <c r="AA284" s="148"/>
      <c r="AB284" s="148">
        <v>36149.256353820703</v>
      </c>
      <c r="AC284" s="148">
        <v>31270.814547791</v>
      </c>
      <c r="AD284" s="148">
        <v>21478.1822656242</v>
      </c>
      <c r="AE284" s="148">
        <v>9806.8957125821307</v>
      </c>
      <c r="AF284" s="148">
        <v>16104.547175670499</v>
      </c>
      <c r="AG284" s="148">
        <v>19370.642157325499</v>
      </c>
      <c r="AH284" s="148">
        <v>25467.7144535515</v>
      </c>
      <c r="AI284" s="148">
        <v>29162.150562250499</v>
      </c>
      <c r="AJ284" s="148">
        <v>17943.949909557199</v>
      </c>
      <c r="AK284" s="148">
        <v>8047.8510433307802</v>
      </c>
      <c r="AL284" s="148">
        <v>16081.6894925344</v>
      </c>
      <c r="AM284" s="148">
        <v>26024.191256628499</v>
      </c>
      <c r="AN284" s="148"/>
    </row>
    <row r="285" spans="1:40" ht="10.199999999999999" x14ac:dyDescent="0.2">
      <c r="A285" s="147" t="s">
        <v>688</v>
      </c>
      <c r="B285" s="148">
        <v>0</v>
      </c>
      <c r="C285" s="148">
        <v>0</v>
      </c>
      <c r="D285" s="148">
        <v>0</v>
      </c>
      <c r="E285" s="148">
        <v>0</v>
      </c>
      <c r="F285" s="148">
        <v>0</v>
      </c>
      <c r="G285" s="148">
        <v>0</v>
      </c>
      <c r="H285" s="148">
        <v>0</v>
      </c>
      <c r="I285" s="148">
        <v>0</v>
      </c>
      <c r="J285" s="148">
        <v>0</v>
      </c>
      <c r="K285" s="148">
        <v>0</v>
      </c>
      <c r="L285" s="148">
        <v>0</v>
      </c>
      <c r="M285" s="148">
        <v>0</v>
      </c>
      <c r="N285" s="148"/>
      <c r="O285" s="148">
        <v>0</v>
      </c>
      <c r="P285" s="148">
        <v>0</v>
      </c>
      <c r="Q285" s="148">
        <v>0</v>
      </c>
      <c r="R285" s="148">
        <v>0</v>
      </c>
      <c r="S285" s="148">
        <v>0</v>
      </c>
      <c r="T285" s="148">
        <v>0</v>
      </c>
      <c r="U285" s="148">
        <v>0</v>
      </c>
      <c r="V285" s="148">
        <v>0</v>
      </c>
      <c r="W285" s="148">
        <v>0</v>
      </c>
      <c r="X285" s="148">
        <v>0</v>
      </c>
      <c r="Y285" s="148">
        <v>0</v>
      </c>
      <c r="Z285" s="148">
        <v>0</v>
      </c>
      <c r="AA285" s="148"/>
      <c r="AB285" s="148">
        <v>0</v>
      </c>
      <c r="AC285" s="148">
        <v>0</v>
      </c>
      <c r="AD285" s="148">
        <v>0</v>
      </c>
      <c r="AE285" s="148">
        <v>0</v>
      </c>
      <c r="AF285" s="148">
        <v>0</v>
      </c>
      <c r="AG285" s="148">
        <v>0</v>
      </c>
      <c r="AH285" s="148">
        <v>0</v>
      </c>
      <c r="AI285" s="148">
        <v>0</v>
      </c>
      <c r="AJ285" s="148">
        <v>0</v>
      </c>
      <c r="AK285" s="148">
        <v>0</v>
      </c>
      <c r="AL285" s="148">
        <v>0</v>
      </c>
      <c r="AM285" s="148">
        <v>0</v>
      </c>
      <c r="AN285" s="148"/>
    </row>
    <row r="286" spans="1:40" ht="10.199999999999999" x14ac:dyDescent="0.2">
      <c r="A286" s="147" t="s">
        <v>689</v>
      </c>
      <c r="B286" s="148">
        <v>39.616390000000003</v>
      </c>
      <c r="C286" s="148">
        <v>57.293759999999999</v>
      </c>
      <c r="D286" s="148">
        <v>286.21185000000003</v>
      </c>
      <c r="E286" s="148">
        <v>54.489100000000001</v>
      </c>
      <c r="F286" s="148">
        <v>36.773529999999901</v>
      </c>
      <c r="G286" s="148">
        <v>402.34719999999999</v>
      </c>
      <c r="H286" s="148">
        <v>60.927</v>
      </c>
      <c r="I286" s="148">
        <v>57.146999999999998</v>
      </c>
      <c r="J286" s="148">
        <v>353.01</v>
      </c>
      <c r="K286" s="148">
        <v>67.748999999999995</v>
      </c>
      <c r="L286" s="148">
        <v>56.820999999999998</v>
      </c>
      <c r="M286" s="148">
        <v>351.08499999999998</v>
      </c>
      <c r="N286" s="148"/>
      <c r="O286" s="148">
        <v>89.799000000000007</v>
      </c>
      <c r="P286" s="148">
        <v>52.71</v>
      </c>
      <c r="Q286" s="148">
        <v>247.12</v>
      </c>
      <c r="R286" s="148">
        <v>55.988999999999997</v>
      </c>
      <c r="S286" s="148">
        <v>55.948999999999998</v>
      </c>
      <c r="T286" s="148">
        <v>245.113</v>
      </c>
      <c r="U286" s="148">
        <v>59.170999999999999</v>
      </c>
      <c r="V286" s="148">
        <v>55.673999999999999</v>
      </c>
      <c r="W286" s="148">
        <v>253.023</v>
      </c>
      <c r="X286" s="148">
        <v>59.783999999999999</v>
      </c>
      <c r="Y286" s="148">
        <v>50.808</v>
      </c>
      <c r="Z286" s="148">
        <v>270.387</v>
      </c>
      <c r="AA286" s="148"/>
      <c r="AB286" s="148">
        <v>90.620999999999995</v>
      </c>
      <c r="AC286" s="148">
        <v>53.466999999999999</v>
      </c>
      <c r="AD286" s="148">
        <v>249.136</v>
      </c>
      <c r="AE286" s="148">
        <v>56.789000000000001</v>
      </c>
      <c r="AF286" s="148">
        <v>54.39</v>
      </c>
      <c r="AG286" s="148">
        <v>248.309</v>
      </c>
      <c r="AH286" s="148">
        <v>60.042000000000002</v>
      </c>
      <c r="AI286" s="148">
        <v>55.325999999999901</v>
      </c>
      <c r="AJ286" s="148">
        <v>255.03700000000001</v>
      </c>
      <c r="AK286" s="148">
        <v>59.471999999999902</v>
      </c>
      <c r="AL286" s="148">
        <v>51.555999999999997</v>
      </c>
      <c r="AM286" s="148">
        <v>272.35899999999998</v>
      </c>
      <c r="AN286" s="148"/>
    </row>
    <row r="287" spans="1:40" ht="10.199999999999999" x14ac:dyDescent="0.2">
      <c r="A287" s="147" t="s">
        <v>690</v>
      </c>
      <c r="B287" s="148">
        <v>0</v>
      </c>
      <c r="C287" s="148">
        <v>0</v>
      </c>
      <c r="D287" s="148">
        <v>0</v>
      </c>
      <c r="E287" s="148">
        <v>0</v>
      </c>
      <c r="F287" s="148">
        <v>0</v>
      </c>
      <c r="G287" s="148">
        <v>0</v>
      </c>
      <c r="H287" s="148">
        <v>0</v>
      </c>
      <c r="I287" s="148">
        <v>0</v>
      </c>
      <c r="J287" s="148">
        <v>0</v>
      </c>
      <c r="K287" s="148">
        <v>0</v>
      </c>
      <c r="L287" s="148">
        <v>0</v>
      </c>
      <c r="M287" s="148">
        <v>0</v>
      </c>
      <c r="N287" s="148"/>
      <c r="O287" s="148">
        <v>0</v>
      </c>
      <c r="P287" s="148">
        <v>0</v>
      </c>
      <c r="Q287" s="148">
        <v>0</v>
      </c>
      <c r="R287" s="148">
        <v>0</v>
      </c>
      <c r="S287" s="148">
        <v>0</v>
      </c>
      <c r="T287" s="148">
        <v>0</v>
      </c>
      <c r="U287" s="148">
        <v>0</v>
      </c>
      <c r="V287" s="148">
        <v>0</v>
      </c>
      <c r="W287" s="148">
        <v>0</v>
      </c>
      <c r="X287" s="148">
        <v>0</v>
      </c>
      <c r="Y287" s="148">
        <v>0</v>
      </c>
      <c r="Z287" s="148">
        <v>0</v>
      </c>
      <c r="AA287" s="148"/>
      <c r="AB287" s="148">
        <v>0</v>
      </c>
      <c r="AC287" s="148">
        <v>0</v>
      </c>
      <c r="AD287" s="148">
        <v>0</v>
      </c>
      <c r="AE287" s="148">
        <v>0</v>
      </c>
      <c r="AF287" s="148">
        <v>0</v>
      </c>
      <c r="AG287" s="148">
        <v>0</v>
      </c>
      <c r="AH287" s="148">
        <v>0</v>
      </c>
      <c r="AI287" s="148">
        <v>0</v>
      </c>
      <c r="AJ287" s="148">
        <v>0</v>
      </c>
      <c r="AK287" s="148">
        <v>0</v>
      </c>
      <c r="AL287" s="148">
        <v>0</v>
      </c>
      <c r="AM287" s="148">
        <v>0</v>
      </c>
      <c r="AN287" s="148"/>
    </row>
    <row r="288" spans="1:40" ht="10.199999999999999" x14ac:dyDescent="0.2">
      <c r="A288" s="147" t="s">
        <v>691</v>
      </c>
      <c r="B288" s="148">
        <v>0</v>
      </c>
      <c r="C288" s="148">
        <v>0</v>
      </c>
      <c r="D288" s="148">
        <v>17133.437999999998</v>
      </c>
      <c r="E288" s="148">
        <v>0</v>
      </c>
      <c r="F288" s="148">
        <v>0</v>
      </c>
      <c r="G288" s="148">
        <v>-3869.6779999999999</v>
      </c>
      <c r="H288" s="148">
        <v>0</v>
      </c>
      <c r="I288" s="148">
        <v>0</v>
      </c>
      <c r="J288" s="148">
        <v>-13263.76</v>
      </c>
      <c r="K288" s="148">
        <v>0</v>
      </c>
      <c r="L288" s="148">
        <v>0</v>
      </c>
      <c r="M288" s="148">
        <v>0</v>
      </c>
      <c r="N288" s="148"/>
      <c r="O288" s="148">
        <v>0</v>
      </c>
      <c r="P288" s="148">
        <v>0</v>
      </c>
      <c r="Q288" s="148">
        <v>0</v>
      </c>
      <c r="R288" s="148">
        <v>0</v>
      </c>
      <c r="S288" s="148">
        <v>0</v>
      </c>
      <c r="T288" s="148">
        <v>0</v>
      </c>
      <c r="U288" s="148">
        <v>0</v>
      </c>
      <c r="V288" s="148">
        <v>0</v>
      </c>
      <c r="W288" s="148">
        <v>0</v>
      </c>
      <c r="X288" s="148">
        <v>0</v>
      </c>
      <c r="Y288" s="148">
        <v>0</v>
      </c>
      <c r="Z288" s="148">
        <v>0</v>
      </c>
      <c r="AA288" s="148"/>
      <c r="AB288" s="148">
        <v>0</v>
      </c>
      <c r="AC288" s="148">
        <v>0</v>
      </c>
      <c r="AD288" s="148">
        <v>0</v>
      </c>
      <c r="AE288" s="148">
        <v>0</v>
      </c>
      <c r="AF288" s="148">
        <v>0</v>
      </c>
      <c r="AG288" s="148">
        <v>0</v>
      </c>
      <c r="AH288" s="148">
        <v>0</v>
      </c>
      <c r="AI288" s="148">
        <v>0</v>
      </c>
      <c r="AJ288" s="148">
        <v>0</v>
      </c>
      <c r="AK288" s="148">
        <v>0</v>
      </c>
      <c r="AL288" s="148">
        <v>0</v>
      </c>
      <c r="AM288" s="148">
        <v>0</v>
      </c>
      <c r="AN288" s="148"/>
    </row>
    <row r="289" spans="1:40" ht="10.199999999999999" x14ac:dyDescent="0.2">
      <c r="A289" s="147" t="s">
        <v>692</v>
      </c>
      <c r="B289" s="148">
        <v>0</v>
      </c>
      <c r="C289" s="148">
        <v>0</v>
      </c>
      <c r="D289" s="148">
        <v>-14139.9052047389</v>
      </c>
      <c r="E289" s="148">
        <v>0</v>
      </c>
      <c r="F289" s="148">
        <v>0</v>
      </c>
      <c r="G289" s="148">
        <v>-14139.9052047389</v>
      </c>
      <c r="H289" s="148">
        <v>0</v>
      </c>
      <c r="I289" s="148">
        <v>0</v>
      </c>
      <c r="J289" s="148">
        <v>-14139.9052047388</v>
      </c>
      <c r="K289" s="148">
        <v>0</v>
      </c>
      <c r="L289" s="148">
        <v>0</v>
      </c>
      <c r="M289" s="148">
        <v>-14139.905204737101</v>
      </c>
      <c r="N289" s="148"/>
      <c r="O289" s="148">
        <v>0</v>
      </c>
      <c r="P289" s="148">
        <v>0</v>
      </c>
      <c r="Q289" s="148">
        <v>-28110.294555819899</v>
      </c>
      <c r="R289" s="148">
        <v>0</v>
      </c>
      <c r="S289" s="148">
        <v>0</v>
      </c>
      <c r="T289" s="148">
        <v>-28110.294555808399</v>
      </c>
      <c r="U289" s="148">
        <v>0</v>
      </c>
      <c r="V289" s="148">
        <v>0</v>
      </c>
      <c r="W289" s="148">
        <v>-28110.294555802499</v>
      </c>
      <c r="X289" s="148">
        <v>0</v>
      </c>
      <c r="Y289" s="148">
        <v>0</v>
      </c>
      <c r="Z289" s="148">
        <v>-28110.294555776902</v>
      </c>
      <c r="AA289" s="148"/>
      <c r="AB289" s="148">
        <v>0</v>
      </c>
      <c r="AC289" s="148">
        <v>0</v>
      </c>
      <c r="AD289" s="148">
        <v>-17951.329291844399</v>
      </c>
      <c r="AE289" s="148">
        <v>0</v>
      </c>
      <c r="AF289" s="148">
        <v>0</v>
      </c>
      <c r="AG289" s="148">
        <v>-17951.3292918029</v>
      </c>
      <c r="AH289" s="148">
        <v>0</v>
      </c>
      <c r="AI289" s="148">
        <v>0</v>
      </c>
      <c r="AJ289" s="148">
        <v>-17951.3292917951</v>
      </c>
      <c r="AK289" s="148">
        <v>0</v>
      </c>
      <c r="AL289" s="148">
        <v>0</v>
      </c>
      <c r="AM289" s="148">
        <v>-17951.3292917691</v>
      </c>
      <c r="AN289" s="148"/>
    </row>
    <row r="290" spans="1:40" ht="14.4" x14ac:dyDescent="0.3">
      <c r="A290" s="147" t="s">
        <v>693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ht="10.199999999999999" x14ac:dyDescent="0.2">
      <c r="A291" s="147" t="s">
        <v>694</v>
      </c>
      <c r="B291" s="148">
        <v>-2072.7091253333301</v>
      </c>
      <c r="C291" s="148">
        <v>-1303.0509868333299</v>
      </c>
      <c r="D291" s="148">
        <v>1241.1534598626199</v>
      </c>
      <c r="E291" s="148">
        <v>-476.20033533333299</v>
      </c>
      <c r="F291" s="148">
        <v>-1169.51988733333</v>
      </c>
      <c r="G291" s="148">
        <v>1053.19103836262</v>
      </c>
      <c r="H291" s="148">
        <v>-1465.7350367910601</v>
      </c>
      <c r="I291" s="148">
        <v>-1331.51272121844</v>
      </c>
      <c r="J291" s="148">
        <v>1433.7997369551399</v>
      </c>
      <c r="K291" s="148">
        <v>-410.65612967855202</v>
      </c>
      <c r="L291" s="148">
        <v>-777.65172886158302</v>
      </c>
      <c r="M291" s="148">
        <v>1037.34336999417</v>
      </c>
      <c r="N291" s="148"/>
      <c r="O291" s="148">
        <v>-1625.8376926993201</v>
      </c>
      <c r="P291" s="148">
        <v>-1376.7283745396701</v>
      </c>
      <c r="Q291" s="148">
        <v>1991.5548015812501</v>
      </c>
      <c r="R291" s="148">
        <v>-404.96814493685002</v>
      </c>
      <c r="S291" s="148">
        <v>-782.79063662315605</v>
      </c>
      <c r="T291" s="148">
        <v>1916.04544081227</v>
      </c>
      <c r="U291" s="148">
        <v>-1275.9014633945601</v>
      </c>
      <c r="V291" s="148">
        <v>-1332.5584237211201</v>
      </c>
      <c r="W291" s="148">
        <v>2267.8725096436701</v>
      </c>
      <c r="X291" s="148">
        <v>-432.986691653317</v>
      </c>
      <c r="Y291" s="148">
        <v>-855.56260806078103</v>
      </c>
      <c r="Z291" s="148">
        <v>1541.0317972652399</v>
      </c>
      <c r="AA291" s="148"/>
      <c r="AB291" s="148">
        <v>-1780.32720102436</v>
      </c>
      <c r="AC291" s="148">
        <v>-1534.5474107228799</v>
      </c>
      <c r="AD291" s="148">
        <v>1160.55792877571</v>
      </c>
      <c r="AE291" s="148">
        <v>-461.51756896244001</v>
      </c>
      <c r="AF291" s="148">
        <v>-776.28019211686103</v>
      </c>
      <c r="AG291" s="148">
        <v>1265.9762841839699</v>
      </c>
      <c r="AH291" s="148">
        <v>-1244.7211560108999</v>
      </c>
      <c r="AI291" s="148">
        <v>-1429.20716144586</v>
      </c>
      <c r="AJ291" s="148">
        <v>1336.9744965641701</v>
      </c>
      <c r="AK291" s="148">
        <v>-373.69948549987203</v>
      </c>
      <c r="AL291" s="148">
        <v>-774.99560796005699</v>
      </c>
      <c r="AM291" s="148">
        <v>932.09632920507295</v>
      </c>
      <c r="AN291" s="148"/>
    </row>
    <row r="292" spans="1:40" ht="10.199999999999999" x14ac:dyDescent="0.2">
      <c r="A292" s="147" t="s">
        <v>695</v>
      </c>
      <c r="B292" s="148">
        <v>40014.806714666702</v>
      </c>
      <c r="C292" s="148">
        <v>25391.3020831666</v>
      </c>
      <c r="D292" s="148">
        <v>28279.477095123701</v>
      </c>
      <c r="E292" s="148">
        <v>9681.1397046666607</v>
      </c>
      <c r="F292" s="148">
        <v>22854.2111926666</v>
      </c>
      <c r="G292" s="148">
        <v>10847.6471036237</v>
      </c>
      <c r="H292" s="148">
        <v>28482.299032363499</v>
      </c>
      <c r="I292" s="148">
        <v>25932.0750364837</v>
      </c>
      <c r="J292" s="148">
        <v>-5778.0001696340996</v>
      </c>
      <c r="K292" s="148">
        <v>8435.7997972258199</v>
      </c>
      <c r="L292" s="148">
        <v>15408.716181703399</v>
      </c>
      <c r="M292" s="148">
        <v>15018.430802622799</v>
      </c>
      <c r="N292" s="148"/>
      <c r="O292" s="148">
        <v>31524.249494620501</v>
      </c>
      <c r="P292" s="148">
        <v>26791.1724495872</v>
      </c>
      <c r="Q292" s="148">
        <v>-5701.3168594839799</v>
      </c>
      <c r="R292" s="148">
        <v>8327.7280871334806</v>
      </c>
      <c r="S292" s="148">
        <v>15506.3554291733</v>
      </c>
      <c r="T292" s="148">
        <v>-4266.6390048818303</v>
      </c>
      <c r="U292" s="148">
        <v>24875.461137829901</v>
      </c>
      <c r="V292" s="148">
        <v>25951.943384034599</v>
      </c>
      <c r="W292" s="148">
        <v>-10951.353312712699</v>
      </c>
      <c r="X292" s="148">
        <v>8860.0804747463699</v>
      </c>
      <c r="Y292" s="148">
        <v>16889.022886488099</v>
      </c>
      <c r="Z292" s="148">
        <v>2858.6202224539102</v>
      </c>
      <c r="AA292" s="148"/>
      <c r="AB292" s="148">
        <v>34459.550152796299</v>
      </c>
      <c r="AC292" s="148">
        <v>29789.734137068099</v>
      </c>
      <c r="AD292" s="148">
        <v>4936.5469025554803</v>
      </c>
      <c r="AE292" s="148">
        <v>9402.1671436196903</v>
      </c>
      <c r="AF292" s="148">
        <v>15382.656983553699</v>
      </c>
      <c r="AG292" s="148">
        <v>2933.59814970659</v>
      </c>
      <c r="AH292" s="148">
        <v>24283.035297540599</v>
      </c>
      <c r="AI292" s="148">
        <v>27788.2694008047</v>
      </c>
      <c r="AJ292" s="148">
        <v>1584.6321143262501</v>
      </c>
      <c r="AK292" s="148">
        <v>7733.6235578309097</v>
      </c>
      <c r="AL292" s="148">
        <v>15358.249884574399</v>
      </c>
      <c r="AM292" s="148">
        <v>9277.3172940644599</v>
      </c>
      <c r="AN292" s="148"/>
    </row>
    <row r="293" spans="1:40" ht="10.199999999999999" x14ac:dyDescent="0.2">
      <c r="A293" s="147" t="s">
        <v>696</v>
      </c>
      <c r="B293" s="148">
        <v>0</v>
      </c>
      <c r="C293" s="148">
        <v>0</v>
      </c>
      <c r="D293" s="148">
        <v>0</v>
      </c>
      <c r="E293" s="148">
        <v>0</v>
      </c>
      <c r="F293" s="148">
        <v>0</v>
      </c>
      <c r="G293" s="148">
        <v>0</v>
      </c>
      <c r="H293" s="148">
        <v>0</v>
      </c>
      <c r="I293" s="148">
        <v>0</v>
      </c>
      <c r="J293" s="148">
        <v>0</v>
      </c>
      <c r="K293" s="148">
        <v>0</v>
      </c>
      <c r="L293" s="148">
        <v>0</v>
      </c>
      <c r="M293" s="148">
        <v>0</v>
      </c>
      <c r="N293" s="148"/>
      <c r="O293" s="148">
        <v>0</v>
      </c>
      <c r="P293" s="148">
        <v>0</v>
      </c>
      <c r="Q293" s="148">
        <v>0</v>
      </c>
      <c r="R293" s="148">
        <v>0</v>
      </c>
      <c r="S293" s="148">
        <v>0</v>
      </c>
      <c r="T293" s="148">
        <v>0</v>
      </c>
      <c r="U293" s="148">
        <v>0</v>
      </c>
      <c r="V293" s="148">
        <v>0</v>
      </c>
      <c r="W293" s="148">
        <v>0</v>
      </c>
      <c r="X293" s="148">
        <v>0</v>
      </c>
      <c r="Y293" s="148">
        <v>0</v>
      </c>
      <c r="Z293" s="148">
        <v>0</v>
      </c>
      <c r="AA293" s="148"/>
      <c r="AB293" s="148">
        <v>0</v>
      </c>
      <c r="AC293" s="148">
        <v>0</v>
      </c>
      <c r="AD293" s="148">
        <v>0</v>
      </c>
      <c r="AE293" s="148">
        <v>0</v>
      </c>
      <c r="AF293" s="148">
        <v>0</v>
      </c>
      <c r="AG293" s="148">
        <v>0</v>
      </c>
      <c r="AH293" s="148">
        <v>0</v>
      </c>
      <c r="AI293" s="148">
        <v>0</v>
      </c>
      <c r="AJ293" s="148">
        <v>0</v>
      </c>
      <c r="AK293" s="148">
        <v>0</v>
      </c>
      <c r="AL293" s="148">
        <v>0</v>
      </c>
      <c r="AM293" s="148">
        <v>0</v>
      </c>
      <c r="AN293" s="148"/>
    </row>
    <row r="294" spans="1:40" ht="10.199999999999999" x14ac:dyDescent="0.2">
      <c r="A294" s="147" t="s">
        <v>697</v>
      </c>
      <c r="B294" s="148">
        <v>0</v>
      </c>
      <c r="C294" s="148">
        <v>0</v>
      </c>
      <c r="D294" s="148">
        <v>-35091.773999999998</v>
      </c>
      <c r="E294" s="148">
        <v>0</v>
      </c>
      <c r="F294" s="148">
        <v>0</v>
      </c>
      <c r="G294" s="148">
        <v>-35091.773999999998</v>
      </c>
      <c r="H294" s="148">
        <v>0</v>
      </c>
      <c r="I294" s="148">
        <v>0</v>
      </c>
      <c r="J294" s="148">
        <v>-78655.010999999999</v>
      </c>
      <c r="K294" s="148">
        <v>0</v>
      </c>
      <c r="L294" s="148">
        <v>0</v>
      </c>
      <c r="M294" s="148">
        <v>-49612.853000000003</v>
      </c>
      <c r="N294" s="148"/>
      <c r="O294" s="148">
        <v>0</v>
      </c>
      <c r="P294" s="148">
        <v>0</v>
      </c>
      <c r="Q294" s="148">
        <v>0</v>
      </c>
      <c r="R294" s="148">
        <v>0</v>
      </c>
      <c r="S294" s="148">
        <v>0</v>
      </c>
      <c r="T294" s="148">
        <v>0</v>
      </c>
      <c r="U294" s="148">
        <v>0</v>
      </c>
      <c r="V294" s="148">
        <v>0</v>
      </c>
      <c r="W294" s="148">
        <v>0</v>
      </c>
      <c r="X294" s="148">
        <v>0</v>
      </c>
      <c r="Y294" s="148">
        <v>0</v>
      </c>
      <c r="Z294" s="148">
        <v>0</v>
      </c>
      <c r="AA294" s="148"/>
      <c r="AB294" s="148">
        <v>0</v>
      </c>
      <c r="AC294" s="148">
        <v>0</v>
      </c>
      <c r="AD294" s="148">
        <v>0</v>
      </c>
      <c r="AE294" s="148">
        <v>0</v>
      </c>
      <c r="AF294" s="148">
        <v>0</v>
      </c>
      <c r="AG294" s="148">
        <v>0</v>
      </c>
      <c r="AH294" s="148">
        <v>0</v>
      </c>
      <c r="AI294" s="148">
        <v>0</v>
      </c>
      <c r="AJ294" s="148">
        <v>0</v>
      </c>
      <c r="AK294" s="148">
        <v>0</v>
      </c>
      <c r="AL294" s="148">
        <v>0</v>
      </c>
      <c r="AM294" s="148">
        <v>0</v>
      </c>
      <c r="AN294" s="148"/>
    </row>
    <row r="295" spans="1:40" ht="10.199999999999999" x14ac:dyDescent="0.2">
      <c r="A295" s="147" t="s">
        <v>698</v>
      </c>
      <c r="B295" s="148">
        <v>40014.806714666702</v>
      </c>
      <c r="C295" s="148">
        <v>25391.3020831666</v>
      </c>
      <c r="D295" s="148">
        <v>-6812.2969048762898</v>
      </c>
      <c r="E295" s="148">
        <v>9681.1397046666607</v>
      </c>
      <c r="F295" s="148">
        <v>22854.2111926666</v>
      </c>
      <c r="G295" s="148">
        <v>-24244.126896376201</v>
      </c>
      <c r="H295" s="148">
        <v>28482.299032363499</v>
      </c>
      <c r="I295" s="148">
        <v>25932.0750364837</v>
      </c>
      <c r="J295" s="148">
        <v>-84433.011169634105</v>
      </c>
      <c r="K295" s="148">
        <v>8435.7997972258199</v>
      </c>
      <c r="L295" s="148">
        <v>15408.716181703399</v>
      </c>
      <c r="M295" s="148">
        <v>-34594.422197377098</v>
      </c>
      <c r="N295" s="148"/>
      <c r="O295" s="148">
        <v>31524.249494620501</v>
      </c>
      <c r="P295" s="148">
        <v>26791.1724495872</v>
      </c>
      <c r="Q295" s="148">
        <v>-5701.3168594839799</v>
      </c>
      <c r="R295" s="148">
        <v>8327.7280871334806</v>
      </c>
      <c r="S295" s="148">
        <v>15506.3554291733</v>
      </c>
      <c r="T295" s="148">
        <v>-4266.6390048818303</v>
      </c>
      <c r="U295" s="148">
        <v>24875.461137829901</v>
      </c>
      <c r="V295" s="148">
        <v>25951.943384034599</v>
      </c>
      <c r="W295" s="148">
        <v>-10951.353312712699</v>
      </c>
      <c r="X295" s="148">
        <v>8860.0804747463699</v>
      </c>
      <c r="Y295" s="148">
        <v>16889.022886488099</v>
      </c>
      <c r="Z295" s="148">
        <v>2858.6202224539102</v>
      </c>
      <c r="AA295" s="148"/>
      <c r="AB295" s="148">
        <v>34459.550152796299</v>
      </c>
      <c r="AC295" s="148">
        <v>29789.734137068099</v>
      </c>
      <c r="AD295" s="148">
        <v>4936.5469025554803</v>
      </c>
      <c r="AE295" s="148">
        <v>9402.1671436196903</v>
      </c>
      <c r="AF295" s="148">
        <v>15382.656983553699</v>
      </c>
      <c r="AG295" s="148">
        <v>2933.59814970659</v>
      </c>
      <c r="AH295" s="148">
        <v>24283.035297540599</v>
      </c>
      <c r="AI295" s="148">
        <v>27788.2694008047</v>
      </c>
      <c r="AJ295" s="148">
        <v>1584.6321143262501</v>
      </c>
      <c r="AK295" s="148">
        <v>7733.6235578309097</v>
      </c>
      <c r="AL295" s="148">
        <v>15358.249884574399</v>
      </c>
      <c r="AM295" s="148">
        <v>9277.3172940644599</v>
      </c>
      <c r="AN295" s="148"/>
    </row>
    <row r="296" spans="1:40" ht="10.199999999999999" x14ac:dyDescent="0.2">
      <c r="A296" s="151" t="s">
        <v>699</v>
      </c>
      <c r="B296" s="152">
        <v>0.21</v>
      </c>
      <c r="C296" s="152">
        <v>0.21</v>
      </c>
      <c r="D296" s="152">
        <v>0.21</v>
      </c>
      <c r="E296" s="152">
        <v>0.21</v>
      </c>
      <c r="F296" s="152">
        <v>0.21</v>
      </c>
      <c r="G296" s="152">
        <v>0.21</v>
      </c>
      <c r="H296" s="152">
        <v>0.21</v>
      </c>
      <c r="I296" s="152">
        <v>0.21</v>
      </c>
      <c r="J296" s="152">
        <v>0.21</v>
      </c>
      <c r="K296" s="152">
        <v>0.21</v>
      </c>
      <c r="L296" s="152">
        <v>0.21</v>
      </c>
      <c r="M296" s="152">
        <v>0.21</v>
      </c>
      <c r="N296" s="152"/>
      <c r="O296" s="152">
        <v>0.21</v>
      </c>
      <c r="P296" s="152">
        <v>0.21</v>
      </c>
      <c r="Q296" s="152">
        <v>0.21</v>
      </c>
      <c r="R296" s="152">
        <v>0.21</v>
      </c>
      <c r="S296" s="152">
        <v>0.21</v>
      </c>
      <c r="T296" s="152">
        <v>0.21</v>
      </c>
      <c r="U296" s="152">
        <v>0.21</v>
      </c>
      <c r="V296" s="152">
        <v>0.21</v>
      </c>
      <c r="W296" s="152">
        <v>0.21</v>
      </c>
      <c r="X296" s="152">
        <v>0.21</v>
      </c>
      <c r="Y296" s="152">
        <v>0.21</v>
      </c>
      <c r="Z296" s="152">
        <v>0.21</v>
      </c>
      <c r="AA296" s="152"/>
      <c r="AB296" s="152">
        <v>0.21</v>
      </c>
      <c r="AC296" s="152">
        <v>0.21</v>
      </c>
      <c r="AD296" s="152">
        <v>0.21</v>
      </c>
      <c r="AE296" s="152">
        <v>0.21</v>
      </c>
      <c r="AF296" s="152">
        <v>0.21</v>
      </c>
      <c r="AG296" s="152">
        <v>0.21</v>
      </c>
      <c r="AH296" s="152">
        <v>0.21</v>
      </c>
      <c r="AI296" s="152">
        <v>0.21</v>
      </c>
      <c r="AJ296" s="152">
        <v>0.21</v>
      </c>
      <c r="AK296" s="152">
        <v>0.21</v>
      </c>
      <c r="AL296" s="152">
        <v>0.21</v>
      </c>
      <c r="AM296" s="152">
        <v>0.21</v>
      </c>
      <c r="AN296" s="152"/>
    </row>
    <row r="297" spans="1:40" ht="10.199999999999999" x14ac:dyDescent="0.2">
      <c r="A297" s="147" t="s">
        <v>700</v>
      </c>
      <c r="B297" s="148">
        <v>8403.1094100800001</v>
      </c>
      <c r="C297" s="148">
        <v>5332.1734374649895</v>
      </c>
      <c r="D297" s="148">
        <v>-1430.5823500240199</v>
      </c>
      <c r="E297" s="148">
        <v>2033.03933797999</v>
      </c>
      <c r="F297" s="148">
        <v>4799.38435046</v>
      </c>
      <c r="G297" s="148">
        <v>-5091.2666482390096</v>
      </c>
      <c r="H297" s="148">
        <v>5981.2827967963503</v>
      </c>
      <c r="I297" s="148">
        <v>5445.7357576615796</v>
      </c>
      <c r="J297" s="148">
        <v>-17730.9323456231</v>
      </c>
      <c r="K297" s="148">
        <v>1771.5179574174199</v>
      </c>
      <c r="L297" s="148">
        <v>3235.8303981577101</v>
      </c>
      <c r="M297" s="148">
        <v>-7264.8286614491899</v>
      </c>
      <c r="N297" s="148"/>
      <c r="O297" s="148">
        <v>6620.0923938703099</v>
      </c>
      <c r="P297" s="148">
        <v>5626.1462144133202</v>
      </c>
      <c r="Q297" s="148">
        <v>-1197.2765404916299</v>
      </c>
      <c r="R297" s="148">
        <v>1748.8228982980299</v>
      </c>
      <c r="S297" s="148">
        <v>3256.3346401263898</v>
      </c>
      <c r="T297" s="148">
        <v>-895.99419102518505</v>
      </c>
      <c r="U297" s="148">
        <v>5223.8468389442896</v>
      </c>
      <c r="V297" s="148">
        <v>5449.9081106472704</v>
      </c>
      <c r="W297" s="148">
        <v>-2299.7841956696702</v>
      </c>
      <c r="X297" s="148">
        <v>1860.6168996967299</v>
      </c>
      <c r="Y297" s="148">
        <v>3546.6948061625098</v>
      </c>
      <c r="Z297" s="148">
        <v>600.31024671532202</v>
      </c>
      <c r="AA297" s="148"/>
      <c r="AB297" s="148">
        <v>7236.5055320872298</v>
      </c>
      <c r="AC297" s="148">
        <v>6255.8441687842997</v>
      </c>
      <c r="AD297" s="148">
        <v>1036.6748495366501</v>
      </c>
      <c r="AE297" s="148">
        <v>1974.4551001601301</v>
      </c>
      <c r="AF297" s="148">
        <v>3230.3579665462698</v>
      </c>
      <c r="AG297" s="148">
        <v>616.05561143838497</v>
      </c>
      <c r="AH297" s="148">
        <v>5099.4374124835203</v>
      </c>
      <c r="AI297" s="148">
        <v>5835.5365741689802</v>
      </c>
      <c r="AJ297" s="148">
        <v>332.772744008514</v>
      </c>
      <c r="AK297" s="148">
        <v>1624.06094714449</v>
      </c>
      <c r="AL297" s="148">
        <v>3225.2324757606202</v>
      </c>
      <c r="AM297" s="148">
        <v>1948.23663175353</v>
      </c>
      <c r="AN297" s="148"/>
    </row>
    <row r="298" spans="1:40" ht="14.4" x14ac:dyDescent="0.3">
      <c r="A298" s="147" t="s">
        <v>701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ht="10.199999999999999" x14ac:dyDescent="0.2">
      <c r="A299" s="147" t="s">
        <v>702</v>
      </c>
      <c r="B299" s="148">
        <v>0</v>
      </c>
      <c r="C299" s="148">
        <v>0</v>
      </c>
      <c r="D299" s="148">
        <v>0</v>
      </c>
      <c r="E299" s="148">
        <v>0</v>
      </c>
      <c r="F299" s="148">
        <v>0</v>
      </c>
      <c r="G299" s="148">
        <v>0</v>
      </c>
      <c r="H299" s="148">
        <v>0</v>
      </c>
      <c r="I299" s="148">
        <v>0</v>
      </c>
      <c r="J299" s="148">
        <v>0</v>
      </c>
      <c r="K299" s="148">
        <v>0</v>
      </c>
      <c r="L299" s="148">
        <v>0</v>
      </c>
      <c r="M299" s="148">
        <v>0</v>
      </c>
      <c r="N299" s="148"/>
      <c r="O299" s="148">
        <v>0</v>
      </c>
      <c r="P299" s="148">
        <v>0</v>
      </c>
      <c r="Q299" s="148">
        <v>0</v>
      </c>
      <c r="R299" s="148">
        <v>0</v>
      </c>
      <c r="S299" s="148">
        <v>0</v>
      </c>
      <c r="T299" s="148">
        <v>0</v>
      </c>
      <c r="U299" s="148">
        <v>0</v>
      </c>
      <c r="V299" s="148">
        <v>0</v>
      </c>
      <c r="W299" s="148">
        <v>0</v>
      </c>
      <c r="X299" s="148">
        <v>0</v>
      </c>
      <c r="Y299" s="148">
        <v>0</v>
      </c>
      <c r="Z299" s="148">
        <v>0</v>
      </c>
      <c r="AA299" s="148"/>
      <c r="AB299" s="148">
        <v>0</v>
      </c>
      <c r="AC299" s="148">
        <v>0</v>
      </c>
      <c r="AD299" s="148">
        <v>0</v>
      </c>
      <c r="AE299" s="148">
        <v>0</v>
      </c>
      <c r="AF299" s="148">
        <v>0</v>
      </c>
      <c r="AG299" s="148">
        <v>0</v>
      </c>
      <c r="AH299" s="148">
        <v>0</v>
      </c>
      <c r="AI299" s="148">
        <v>0</v>
      </c>
      <c r="AJ299" s="148">
        <v>0</v>
      </c>
      <c r="AK299" s="148">
        <v>0</v>
      </c>
      <c r="AL299" s="148">
        <v>0</v>
      </c>
      <c r="AM299" s="148">
        <v>0</v>
      </c>
      <c r="AN299" s="148"/>
    </row>
    <row r="300" spans="1:40" ht="10.199999999999999" x14ac:dyDescent="0.2">
      <c r="A300" s="147" t="s">
        <v>703</v>
      </c>
      <c r="B300" s="148">
        <v>0</v>
      </c>
      <c r="C300" s="148">
        <v>0</v>
      </c>
      <c r="D300" s="148">
        <v>0</v>
      </c>
      <c r="E300" s="148">
        <v>0</v>
      </c>
      <c r="F300" s="148">
        <v>0</v>
      </c>
      <c r="G300" s="148">
        <v>0</v>
      </c>
      <c r="H300" s="148">
        <v>0</v>
      </c>
      <c r="I300" s="148">
        <v>0</v>
      </c>
      <c r="J300" s="148">
        <v>0</v>
      </c>
      <c r="K300" s="148">
        <v>0</v>
      </c>
      <c r="L300" s="148">
        <v>0</v>
      </c>
      <c r="M300" s="148">
        <v>0</v>
      </c>
      <c r="N300" s="148"/>
      <c r="O300" s="148">
        <v>0</v>
      </c>
      <c r="P300" s="148">
        <v>0</v>
      </c>
      <c r="Q300" s="148">
        <v>0</v>
      </c>
      <c r="R300" s="148">
        <v>0</v>
      </c>
      <c r="S300" s="148">
        <v>0</v>
      </c>
      <c r="T300" s="148">
        <v>0</v>
      </c>
      <c r="U300" s="148">
        <v>0</v>
      </c>
      <c r="V300" s="148">
        <v>0</v>
      </c>
      <c r="W300" s="148">
        <v>0</v>
      </c>
      <c r="X300" s="148">
        <v>0</v>
      </c>
      <c r="Y300" s="148">
        <v>0</v>
      </c>
      <c r="Z300" s="148">
        <v>0</v>
      </c>
      <c r="AA300" s="148"/>
      <c r="AB300" s="148">
        <v>0</v>
      </c>
      <c r="AC300" s="148">
        <v>0</v>
      </c>
      <c r="AD300" s="148">
        <v>0</v>
      </c>
      <c r="AE300" s="148">
        <v>0</v>
      </c>
      <c r="AF300" s="148">
        <v>0</v>
      </c>
      <c r="AG300" s="148">
        <v>0</v>
      </c>
      <c r="AH300" s="148">
        <v>0</v>
      </c>
      <c r="AI300" s="148">
        <v>0</v>
      </c>
      <c r="AJ300" s="148">
        <v>0</v>
      </c>
      <c r="AK300" s="148">
        <v>0</v>
      </c>
      <c r="AL300" s="148">
        <v>0</v>
      </c>
      <c r="AM300" s="148">
        <v>0</v>
      </c>
      <c r="AN300" s="148"/>
    </row>
    <row r="301" spans="1:40" ht="10.199999999999999" x14ac:dyDescent="0.2">
      <c r="A301" s="147" t="s">
        <v>704</v>
      </c>
      <c r="B301" s="148">
        <v>0</v>
      </c>
      <c r="C301" s="148">
        <v>0</v>
      </c>
      <c r="D301" s="148">
        <v>-95.5625</v>
      </c>
      <c r="E301" s="148">
        <v>0</v>
      </c>
      <c r="F301" s="148">
        <v>0</v>
      </c>
      <c r="G301" s="148">
        <v>-95.5625</v>
      </c>
      <c r="H301" s="148">
        <v>0</v>
      </c>
      <c r="I301" s="148">
        <v>0</v>
      </c>
      <c r="J301" s="148">
        <v>-95.5625</v>
      </c>
      <c r="K301" s="148">
        <v>0</v>
      </c>
      <c r="L301" s="148">
        <v>0</v>
      </c>
      <c r="M301" s="148">
        <v>-95.5625</v>
      </c>
      <c r="N301" s="148"/>
      <c r="O301" s="148">
        <v>0</v>
      </c>
      <c r="P301" s="148">
        <v>0</v>
      </c>
      <c r="Q301" s="148">
        <v>-642.1875</v>
      </c>
      <c r="R301" s="148">
        <v>0</v>
      </c>
      <c r="S301" s="148">
        <v>0</v>
      </c>
      <c r="T301" s="148">
        <v>-642.1875</v>
      </c>
      <c r="U301" s="148">
        <v>0</v>
      </c>
      <c r="V301" s="148">
        <v>0</v>
      </c>
      <c r="W301" s="148">
        <v>-642.1875</v>
      </c>
      <c r="X301" s="148">
        <v>0</v>
      </c>
      <c r="Y301" s="148">
        <v>0</v>
      </c>
      <c r="Z301" s="148">
        <v>-642.1875</v>
      </c>
      <c r="AA301" s="148"/>
      <c r="AB301" s="148">
        <v>0</v>
      </c>
      <c r="AC301" s="148">
        <v>0</v>
      </c>
      <c r="AD301" s="148">
        <v>0</v>
      </c>
      <c r="AE301" s="148">
        <v>0</v>
      </c>
      <c r="AF301" s="148">
        <v>0</v>
      </c>
      <c r="AG301" s="148">
        <v>0</v>
      </c>
      <c r="AH301" s="148">
        <v>0</v>
      </c>
      <c r="AI301" s="148">
        <v>0</v>
      </c>
      <c r="AJ301" s="148">
        <v>0</v>
      </c>
      <c r="AK301" s="148">
        <v>0</v>
      </c>
      <c r="AL301" s="148">
        <v>0</v>
      </c>
      <c r="AM301" s="148">
        <v>0</v>
      </c>
      <c r="AN301" s="148"/>
    </row>
    <row r="302" spans="1:40" ht="10.199999999999999" x14ac:dyDescent="0.2">
      <c r="A302" s="147" t="s">
        <v>705</v>
      </c>
      <c r="B302" s="148">
        <v>0</v>
      </c>
      <c r="C302" s="148">
        <v>0</v>
      </c>
      <c r="D302" s="148">
        <v>-932.60149999999999</v>
      </c>
      <c r="E302" s="148">
        <v>0</v>
      </c>
      <c r="F302" s="148">
        <v>0</v>
      </c>
      <c r="G302" s="148">
        <v>-932.60149999999999</v>
      </c>
      <c r="H302" s="148">
        <v>0</v>
      </c>
      <c r="I302" s="148">
        <v>0</v>
      </c>
      <c r="J302" s="148">
        <v>-932.60149999999999</v>
      </c>
      <c r="K302" s="148">
        <v>0</v>
      </c>
      <c r="L302" s="148">
        <v>0</v>
      </c>
      <c r="M302" s="148">
        <v>-932.60149999999999</v>
      </c>
      <c r="N302" s="148"/>
      <c r="O302" s="148">
        <v>0</v>
      </c>
      <c r="P302" s="148">
        <v>0</v>
      </c>
      <c r="Q302" s="148">
        <v>-205</v>
      </c>
      <c r="R302" s="148">
        <v>0</v>
      </c>
      <c r="S302" s="148">
        <v>0</v>
      </c>
      <c r="T302" s="148">
        <v>-205</v>
      </c>
      <c r="U302" s="148">
        <v>0</v>
      </c>
      <c r="V302" s="148">
        <v>0</v>
      </c>
      <c r="W302" s="148">
        <v>-205</v>
      </c>
      <c r="X302" s="148">
        <v>0</v>
      </c>
      <c r="Y302" s="148">
        <v>0</v>
      </c>
      <c r="Z302" s="148">
        <v>-205</v>
      </c>
      <c r="AA302" s="148"/>
      <c r="AB302" s="148">
        <v>0</v>
      </c>
      <c r="AC302" s="148">
        <v>0</v>
      </c>
      <c r="AD302" s="148">
        <v>-205</v>
      </c>
      <c r="AE302" s="148">
        <v>0</v>
      </c>
      <c r="AF302" s="148">
        <v>0</v>
      </c>
      <c r="AG302" s="148">
        <v>-205</v>
      </c>
      <c r="AH302" s="148">
        <v>0</v>
      </c>
      <c r="AI302" s="148">
        <v>0</v>
      </c>
      <c r="AJ302" s="148">
        <v>-205</v>
      </c>
      <c r="AK302" s="148">
        <v>0</v>
      </c>
      <c r="AL302" s="148">
        <v>0</v>
      </c>
      <c r="AM302" s="148">
        <v>-205</v>
      </c>
      <c r="AN302" s="148"/>
    </row>
    <row r="303" spans="1:40" ht="10.199999999999999" x14ac:dyDescent="0.2">
      <c r="A303" s="147" t="s">
        <v>706</v>
      </c>
      <c r="B303" s="148">
        <v>8403.1094100800001</v>
      </c>
      <c r="C303" s="148">
        <v>5332.1734374649895</v>
      </c>
      <c r="D303" s="148">
        <v>-2458.7463500240201</v>
      </c>
      <c r="E303" s="148">
        <v>2033.03933797999</v>
      </c>
      <c r="F303" s="148">
        <v>4799.38435046</v>
      </c>
      <c r="G303" s="148">
        <v>-6119.4306482390102</v>
      </c>
      <c r="H303" s="148">
        <v>5981.2827967963503</v>
      </c>
      <c r="I303" s="148">
        <v>5445.7357576615796</v>
      </c>
      <c r="J303" s="148">
        <v>-18759.0963456231</v>
      </c>
      <c r="K303" s="148">
        <v>1771.5179574174199</v>
      </c>
      <c r="L303" s="148">
        <v>3235.8303981577101</v>
      </c>
      <c r="M303" s="148">
        <v>-8292.9926614491906</v>
      </c>
      <c r="N303" s="148"/>
      <c r="O303" s="148">
        <v>6620.0923938703099</v>
      </c>
      <c r="P303" s="148">
        <v>5626.1462144133202</v>
      </c>
      <c r="Q303" s="148">
        <v>-2044.4640404916299</v>
      </c>
      <c r="R303" s="148">
        <v>1748.8228982980299</v>
      </c>
      <c r="S303" s="148">
        <v>3256.3346401263898</v>
      </c>
      <c r="T303" s="148">
        <v>-1743.18169102518</v>
      </c>
      <c r="U303" s="148">
        <v>5223.8468389442896</v>
      </c>
      <c r="V303" s="148">
        <v>5449.9081106472704</v>
      </c>
      <c r="W303" s="148">
        <v>-3146.9716956696702</v>
      </c>
      <c r="X303" s="148">
        <v>1860.6168996967299</v>
      </c>
      <c r="Y303" s="148">
        <v>3546.6948061625098</v>
      </c>
      <c r="Z303" s="148">
        <v>-246.87725328467701</v>
      </c>
      <c r="AA303" s="148"/>
      <c r="AB303" s="148">
        <v>7236.5055320872298</v>
      </c>
      <c r="AC303" s="148">
        <v>6255.8441687842997</v>
      </c>
      <c r="AD303" s="148">
        <v>831.67484953665098</v>
      </c>
      <c r="AE303" s="148">
        <v>1974.4551001601301</v>
      </c>
      <c r="AF303" s="148">
        <v>3230.3579665462698</v>
      </c>
      <c r="AG303" s="148">
        <v>411.05561143838497</v>
      </c>
      <c r="AH303" s="148">
        <v>5099.4374124835203</v>
      </c>
      <c r="AI303" s="148">
        <v>5835.5365741689802</v>
      </c>
      <c r="AJ303" s="148">
        <v>127.772744008514</v>
      </c>
      <c r="AK303" s="148">
        <v>1624.06094714449</v>
      </c>
      <c r="AL303" s="148">
        <v>3225.2324757606202</v>
      </c>
      <c r="AM303" s="148">
        <v>1743.23663175353</v>
      </c>
      <c r="AN303" s="148"/>
    </row>
    <row r="304" spans="1:40" ht="14.4" x14ac:dyDescent="0.3">
      <c r="A304" s="147" t="s">
        <v>707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ht="10.199999999999999" x14ac:dyDescent="0.2">
      <c r="A305" s="147" t="s">
        <v>708</v>
      </c>
      <c r="B305" s="148">
        <v>40014.806714666702</v>
      </c>
      <c r="C305" s="148">
        <v>25391.3020831666</v>
      </c>
      <c r="D305" s="148">
        <v>-6812.2969048762898</v>
      </c>
      <c r="E305" s="148">
        <v>9681.1397046666607</v>
      </c>
      <c r="F305" s="148">
        <v>22854.2111926666</v>
      </c>
      <c r="G305" s="148">
        <v>-24244.126896376201</v>
      </c>
      <c r="H305" s="148">
        <v>28482.299032363499</v>
      </c>
      <c r="I305" s="148">
        <v>25932.0750364837</v>
      </c>
      <c r="J305" s="148">
        <v>-84433.011169634105</v>
      </c>
      <c r="K305" s="148">
        <v>8435.7997972258199</v>
      </c>
      <c r="L305" s="148">
        <v>15408.716181703399</v>
      </c>
      <c r="M305" s="148">
        <v>-34594.422197377098</v>
      </c>
      <c r="N305" s="148"/>
      <c r="O305" s="148">
        <v>31524.249494620501</v>
      </c>
      <c r="P305" s="148">
        <v>26791.1724495872</v>
      </c>
      <c r="Q305" s="148">
        <v>-5701.3168594839799</v>
      </c>
      <c r="R305" s="148">
        <v>8327.7280871334806</v>
      </c>
      <c r="S305" s="148">
        <v>15506.3554291733</v>
      </c>
      <c r="T305" s="148">
        <v>-4266.6390048818303</v>
      </c>
      <c r="U305" s="148">
        <v>24875.461137829901</v>
      </c>
      <c r="V305" s="148">
        <v>25951.943384034599</v>
      </c>
      <c r="W305" s="148">
        <v>-10951.353312712699</v>
      </c>
      <c r="X305" s="148">
        <v>8860.0804747463699</v>
      </c>
      <c r="Y305" s="148">
        <v>16889.022886488099</v>
      </c>
      <c r="Z305" s="148">
        <v>2858.6202224539102</v>
      </c>
      <c r="AA305" s="148"/>
      <c r="AB305" s="148">
        <v>34459.550152796299</v>
      </c>
      <c r="AC305" s="148">
        <v>29789.734137068099</v>
      </c>
      <c r="AD305" s="148">
        <v>4936.5469025554803</v>
      </c>
      <c r="AE305" s="148">
        <v>9402.1671436196903</v>
      </c>
      <c r="AF305" s="148">
        <v>15382.656983553699</v>
      </c>
      <c r="AG305" s="148">
        <v>2933.59814970659</v>
      </c>
      <c r="AH305" s="148">
        <v>24283.035297540599</v>
      </c>
      <c r="AI305" s="148">
        <v>27788.2694008047</v>
      </c>
      <c r="AJ305" s="148">
        <v>1584.6321143262501</v>
      </c>
      <c r="AK305" s="148">
        <v>7733.6235578309097</v>
      </c>
      <c r="AL305" s="148">
        <v>15358.249884574399</v>
      </c>
      <c r="AM305" s="148">
        <v>9277.3172940644599</v>
      </c>
      <c r="AN305" s="148"/>
    </row>
    <row r="306" spans="1:40" ht="14.4" x14ac:dyDescent="0.3">
      <c r="A306" s="146" t="s">
        <v>709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ht="10.199999999999999" x14ac:dyDescent="0.2">
      <c r="A307" s="147" t="s">
        <v>710</v>
      </c>
      <c r="B307" s="148">
        <v>0</v>
      </c>
      <c r="C307" s="148">
        <v>0</v>
      </c>
      <c r="D307" s="148">
        <v>-11972.703215863799</v>
      </c>
      <c r="E307" s="148">
        <v>0</v>
      </c>
      <c r="F307" s="148">
        <v>0</v>
      </c>
      <c r="G307" s="148">
        <v>-11972.703215863799</v>
      </c>
      <c r="H307" s="148">
        <v>0</v>
      </c>
      <c r="I307" s="148">
        <v>0</v>
      </c>
      <c r="J307" s="148">
        <v>-11972.703215863699</v>
      </c>
      <c r="K307" s="148">
        <v>0</v>
      </c>
      <c r="L307" s="148">
        <v>0</v>
      </c>
      <c r="M307" s="148">
        <v>-11972.703215862</v>
      </c>
      <c r="N307" s="148"/>
      <c r="O307" s="148">
        <v>0</v>
      </c>
      <c r="P307" s="148">
        <v>0</v>
      </c>
      <c r="Q307" s="148">
        <v>-25426.798511822599</v>
      </c>
      <c r="R307" s="148">
        <v>0</v>
      </c>
      <c r="S307" s="148">
        <v>0</v>
      </c>
      <c r="T307" s="148">
        <v>-25426.798511809899</v>
      </c>
      <c r="U307" s="148">
        <v>0</v>
      </c>
      <c r="V307" s="148">
        <v>0</v>
      </c>
      <c r="W307" s="148">
        <v>-25426.7985118041</v>
      </c>
      <c r="X307" s="148">
        <v>0</v>
      </c>
      <c r="Y307" s="148">
        <v>0</v>
      </c>
      <c r="Z307" s="148">
        <v>-25426.7985117799</v>
      </c>
      <c r="AA307" s="148"/>
      <c r="AB307" s="148">
        <v>0</v>
      </c>
      <c r="AC307" s="148">
        <v>0</v>
      </c>
      <c r="AD307" s="148">
        <v>-16014.117403021801</v>
      </c>
      <c r="AE307" s="148">
        <v>0</v>
      </c>
      <c r="AF307" s="148">
        <v>0</v>
      </c>
      <c r="AG307" s="148">
        <v>-16014.117402981101</v>
      </c>
      <c r="AH307" s="148">
        <v>0</v>
      </c>
      <c r="AI307" s="148">
        <v>0</v>
      </c>
      <c r="AJ307" s="148">
        <v>-16014.117402978</v>
      </c>
      <c r="AK307" s="148">
        <v>0</v>
      </c>
      <c r="AL307" s="148">
        <v>0</v>
      </c>
      <c r="AM307" s="148">
        <v>-16014.1174029584</v>
      </c>
      <c r="AN307" s="148"/>
    </row>
    <row r="308" spans="1:40" ht="10.199999999999999" x14ac:dyDescent="0.2">
      <c r="A308" s="147" t="s">
        <v>711</v>
      </c>
      <c r="B308" s="148">
        <v>0</v>
      </c>
      <c r="C308" s="148">
        <v>0</v>
      </c>
      <c r="D308" s="148">
        <v>2514.2676753314099</v>
      </c>
      <c r="E308" s="148">
        <v>0</v>
      </c>
      <c r="F308" s="148">
        <v>0</v>
      </c>
      <c r="G308" s="148">
        <v>2514.2676753313999</v>
      </c>
      <c r="H308" s="148">
        <v>0</v>
      </c>
      <c r="I308" s="148">
        <v>0</v>
      </c>
      <c r="J308" s="148">
        <v>2514.2676753313799</v>
      </c>
      <c r="K308" s="148">
        <v>0</v>
      </c>
      <c r="L308" s="148">
        <v>0</v>
      </c>
      <c r="M308" s="148">
        <v>2514.2676753310302</v>
      </c>
      <c r="N308" s="148"/>
      <c r="O308" s="148">
        <v>0</v>
      </c>
      <c r="P308" s="148">
        <v>0</v>
      </c>
      <c r="Q308" s="148">
        <v>5339.6276874827499</v>
      </c>
      <c r="R308" s="148">
        <v>0</v>
      </c>
      <c r="S308" s="148">
        <v>0</v>
      </c>
      <c r="T308" s="148">
        <v>5339.6276874800897</v>
      </c>
      <c r="U308" s="148">
        <v>0</v>
      </c>
      <c r="V308" s="148">
        <v>0</v>
      </c>
      <c r="W308" s="148">
        <v>5339.62768747886</v>
      </c>
      <c r="X308" s="148">
        <v>0</v>
      </c>
      <c r="Y308" s="148">
        <v>0</v>
      </c>
      <c r="Z308" s="148">
        <v>5339.6276874737896</v>
      </c>
      <c r="AA308" s="148"/>
      <c r="AB308" s="148">
        <v>0</v>
      </c>
      <c r="AC308" s="148">
        <v>0</v>
      </c>
      <c r="AD308" s="148">
        <v>3362.9646546345698</v>
      </c>
      <c r="AE308" s="148">
        <v>0</v>
      </c>
      <c r="AF308" s="148">
        <v>0</v>
      </c>
      <c r="AG308" s="148">
        <v>3362.9646546260401</v>
      </c>
      <c r="AH308" s="148">
        <v>0</v>
      </c>
      <c r="AI308" s="148">
        <v>0</v>
      </c>
      <c r="AJ308" s="148">
        <v>3362.9646546253798</v>
      </c>
      <c r="AK308" s="148">
        <v>0</v>
      </c>
      <c r="AL308" s="148">
        <v>0</v>
      </c>
      <c r="AM308" s="148">
        <v>3362.9646546212798</v>
      </c>
      <c r="AN308" s="148"/>
    </row>
    <row r="309" spans="1:40" ht="14.4" x14ac:dyDescent="0.3">
      <c r="A309" s="147" t="s">
        <v>712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ht="10.199999999999999" x14ac:dyDescent="0.2">
      <c r="A310" s="147" t="s">
        <v>713</v>
      </c>
      <c r="B310" s="148">
        <v>0</v>
      </c>
      <c r="C310" s="148">
        <v>0</v>
      </c>
      <c r="D310" s="148">
        <v>0</v>
      </c>
      <c r="E310" s="148">
        <v>0</v>
      </c>
      <c r="F310" s="148">
        <v>0</v>
      </c>
      <c r="G310" s="148">
        <v>0</v>
      </c>
      <c r="H310" s="148">
        <v>0</v>
      </c>
      <c r="I310" s="148">
        <v>0</v>
      </c>
      <c r="J310" s="148">
        <v>0</v>
      </c>
      <c r="K310" s="148">
        <v>0</v>
      </c>
      <c r="L310" s="148">
        <v>0</v>
      </c>
      <c r="M310" s="148">
        <v>0</v>
      </c>
      <c r="N310" s="148"/>
      <c r="O310" s="148">
        <v>0</v>
      </c>
      <c r="P310" s="148">
        <v>0</v>
      </c>
      <c r="Q310" s="148">
        <v>0</v>
      </c>
      <c r="R310" s="148">
        <v>0</v>
      </c>
      <c r="S310" s="148">
        <v>0</v>
      </c>
      <c r="T310" s="148">
        <v>0</v>
      </c>
      <c r="U310" s="148">
        <v>0</v>
      </c>
      <c r="V310" s="148">
        <v>0</v>
      </c>
      <c r="W310" s="148">
        <v>0</v>
      </c>
      <c r="X310" s="148">
        <v>0</v>
      </c>
      <c r="Y310" s="148">
        <v>0</v>
      </c>
      <c r="Z310" s="148">
        <v>0</v>
      </c>
      <c r="AA310" s="148"/>
      <c r="AB310" s="148">
        <v>0</v>
      </c>
      <c r="AC310" s="148">
        <v>0</v>
      </c>
      <c r="AD310" s="148">
        <v>0</v>
      </c>
      <c r="AE310" s="148">
        <v>0</v>
      </c>
      <c r="AF310" s="148">
        <v>0</v>
      </c>
      <c r="AG310" s="148">
        <v>0</v>
      </c>
      <c r="AH310" s="148">
        <v>0</v>
      </c>
      <c r="AI310" s="148">
        <v>0</v>
      </c>
      <c r="AJ310" s="148">
        <v>0</v>
      </c>
      <c r="AK310" s="148">
        <v>0</v>
      </c>
      <c r="AL310" s="148">
        <v>0</v>
      </c>
      <c r="AM310" s="148">
        <v>0</v>
      </c>
      <c r="AN310" s="148"/>
    </row>
    <row r="311" spans="1:40" ht="10.199999999999999" x14ac:dyDescent="0.2">
      <c r="A311" s="147" t="s">
        <v>714</v>
      </c>
      <c r="B311" s="148">
        <v>0</v>
      </c>
      <c r="C311" s="148">
        <v>0</v>
      </c>
      <c r="D311" s="148">
        <v>7369.2725399999899</v>
      </c>
      <c r="E311" s="148">
        <v>0</v>
      </c>
      <c r="F311" s="148">
        <v>0</v>
      </c>
      <c r="G311" s="148">
        <v>7369.2725399999899</v>
      </c>
      <c r="H311" s="148">
        <v>0</v>
      </c>
      <c r="I311" s="148">
        <v>0</v>
      </c>
      <c r="J311" s="148">
        <v>16517.552309999999</v>
      </c>
      <c r="K311" s="148">
        <v>0</v>
      </c>
      <c r="L311" s="148">
        <v>0</v>
      </c>
      <c r="M311" s="148">
        <v>10418.699130000001</v>
      </c>
      <c r="N311" s="148"/>
      <c r="O311" s="148">
        <v>0</v>
      </c>
      <c r="P311" s="148">
        <v>0</v>
      </c>
      <c r="Q311" s="148">
        <v>0</v>
      </c>
      <c r="R311" s="148">
        <v>0</v>
      </c>
      <c r="S311" s="148">
        <v>0</v>
      </c>
      <c r="T311" s="148">
        <v>0</v>
      </c>
      <c r="U311" s="148">
        <v>0</v>
      </c>
      <c r="V311" s="148">
        <v>0</v>
      </c>
      <c r="W311" s="148">
        <v>0</v>
      </c>
      <c r="X311" s="148">
        <v>0</v>
      </c>
      <c r="Y311" s="148">
        <v>0</v>
      </c>
      <c r="Z311" s="148">
        <v>0</v>
      </c>
      <c r="AA311" s="148"/>
      <c r="AB311" s="148">
        <v>0</v>
      </c>
      <c r="AC311" s="148">
        <v>0</v>
      </c>
      <c r="AD311" s="148">
        <v>0</v>
      </c>
      <c r="AE311" s="148">
        <v>0</v>
      </c>
      <c r="AF311" s="148">
        <v>0</v>
      </c>
      <c r="AG311" s="148">
        <v>0</v>
      </c>
      <c r="AH311" s="148">
        <v>0</v>
      </c>
      <c r="AI311" s="148">
        <v>0</v>
      </c>
      <c r="AJ311" s="148">
        <v>0</v>
      </c>
      <c r="AK311" s="148">
        <v>0</v>
      </c>
      <c r="AL311" s="148">
        <v>0</v>
      </c>
      <c r="AM311" s="148">
        <v>0</v>
      </c>
      <c r="AN311" s="148"/>
    </row>
    <row r="312" spans="1:40" ht="10.199999999999999" x14ac:dyDescent="0.2">
      <c r="A312" s="147" t="s">
        <v>715</v>
      </c>
      <c r="B312" s="148">
        <v>0</v>
      </c>
      <c r="C312" s="148">
        <v>0</v>
      </c>
      <c r="D312" s="148">
        <v>0</v>
      </c>
      <c r="E312" s="148">
        <v>0</v>
      </c>
      <c r="F312" s="148">
        <v>0</v>
      </c>
      <c r="G312" s="148">
        <v>0</v>
      </c>
      <c r="H312" s="148">
        <v>0</v>
      </c>
      <c r="I312" s="148">
        <v>0</v>
      </c>
      <c r="J312" s="148">
        <v>0</v>
      </c>
      <c r="K312" s="148">
        <v>0</v>
      </c>
      <c r="L312" s="148">
        <v>0</v>
      </c>
      <c r="M312" s="148">
        <v>0</v>
      </c>
      <c r="N312" s="148"/>
      <c r="O312" s="148">
        <v>0</v>
      </c>
      <c r="P312" s="148">
        <v>0</v>
      </c>
      <c r="Q312" s="148">
        <v>0</v>
      </c>
      <c r="R312" s="148">
        <v>0</v>
      </c>
      <c r="S312" s="148">
        <v>0</v>
      </c>
      <c r="T312" s="148">
        <v>0</v>
      </c>
      <c r="U312" s="148">
        <v>0</v>
      </c>
      <c r="V312" s="148">
        <v>0</v>
      </c>
      <c r="W312" s="148">
        <v>0</v>
      </c>
      <c r="X312" s="148">
        <v>0</v>
      </c>
      <c r="Y312" s="148">
        <v>0</v>
      </c>
      <c r="Z312" s="148">
        <v>0</v>
      </c>
      <c r="AA312" s="148"/>
      <c r="AB312" s="148">
        <v>0</v>
      </c>
      <c r="AC312" s="148">
        <v>0</v>
      </c>
      <c r="AD312" s="148">
        <v>0</v>
      </c>
      <c r="AE312" s="148">
        <v>0</v>
      </c>
      <c r="AF312" s="148">
        <v>0</v>
      </c>
      <c r="AG312" s="148">
        <v>0</v>
      </c>
      <c r="AH312" s="148">
        <v>0</v>
      </c>
      <c r="AI312" s="148">
        <v>0</v>
      </c>
      <c r="AJ312" s="148">
        <v>0</v>
      </c>
      <c r="AK312" s="148">
        <v>0</v>
      </c>
      <c r="AL312" s="148">
        <v>0</v>
      </c>
      <c r="AM312" s="148">
        <v>0</v>
      </c>
      <c r="AN312" s="148"/>
    </row>
    <row r="313" spans="1:40" ht="10.199999999999999" x14ac:dyDescent="0.2">
      <c r="A313" s="147" t="s">
        <v>716</v>
      </c>
      <c r="B313" s="148">
        <v>0</v>
      </c>
      <c r="C313" s="148">
        <v>0</v>
      </c>
      <c r="D313" s="148">
        <v>-3598.02197999999</v>
      </c>
      <c r="E313" s="148">
        <v>0</v>
      </c>
      <c r="F313" s="148">
        <v>0</v>
      </c>
      <c r="G313" s="148">
        <v>812.63237999999899</v>
      </c>
      <c r="H313" s="148">
        <v>0</v>
      </c>
      <c r="I313" s="148">
        <v>0</v>
      </c>
      <c r="J313" s="148">
        <v>2785.3896</v>
      </c>
      <c r="K313" s="148">
        <v>0</v>
      </c>
      <c r="L313" s="148">
        <v>0</v>
      </c>
      <c r="M313" s="148">
        <v>0</v>
      </c>
      <c r="N313" s="148"/>
      <c r="O313" s="148">
        <v>0</v>
      </c>
      <c r="P313" s="148">
        <v>0</v>
      </c>
      <c r="Q313" s="148">
        <v>0</v>
      </c>
      <c r="R313" s="148">
        <v>0</v>
      </c>
      <c r="S313" s="148">
        <v>0</v>
      </c>
      <c r="T313" s="148">
        <v>0</v>
      </c>
      <c r="U313" s="148">
        <v>0</v>
      </c>
      <c r="V313" s="148">
        <v>0</v>
      </c>
      <c r="W313" s="148">
        <v>0</v>
      </c>
      <c r="X313" s="148">
        <v>0</v>
      </c>
      <c r="Y313" s="148">
        <v>0</v>
      </c>
      <c r="Z313" s="148">
        <v>0</v>
      </c>
      <c r="AA313" s="148"/>
      <c r="AB313" s="148">
        <v>0</v>
      </c>
      <c r="AC313" s="148">
        <v>0</v>
      </c>
      <c r="AD313" s="148">
        <v>0</v>
      </c>
      <c r="AE313" s="148">
        <v>0</v>
      </c>
      <c r="AF313" s="148">
        <v>0</v>
      </c>
      <c r="AG313" s="148">
        <v>0</v>
      </c>
      <c r="AH313" s="148">
        <v>0</v>
      </c>
      <c r="AI313" s="148">
        <v>0</v>
      </c>
      <c r="AJ313" s="148">
        <v>0</v>
      </c>
      <c r="AK313" s="148">
        <v>0</v>
      </c>
      <c r="AL313" s="148">
        <v>0</v>
      </c>
      <c r="AM313" s="148">
        <v>0</v>
      </c>
      <c r="AN313" s="148"/>
    </row>
    <row r="314" spans="1:40" ht="10.199999999999999" x14ac:dyDescent="0.2">
      <c r="A314" s="147" t="s">
        <v>717</v>
      </c>
      <c r="B314" s="148">
        <v>9.0345223848299696</v>
      </c>
      <c r="C314" s="148">
        <v>9.0345223848299696</v>
      </c>
      <c r="D314" s="148">
        <v>13.2406623848299</v>
      </c>
      <c r="E314" s="148">
        <v>9.0345223848299696</v>
      </c>
      <c r="F314" s="148">
        <v>9.0345223848299696</v>
      </c>
      <c r="G314" s="148">
        <v>13.2406623848299</v>
      </c>
      <c r="H314" s="148">
        <v>9.0345223848299696</v>
      </c>
      <c r="I314" s="148">
        <v>9.0345223848299696</v>
      </c>
      <c r="J314" s="148">
        <v>13.2406623848299</v>
      </c>
      <c r="K314" s="148">
        <v>9.0345223848299696</v>
      </c>
      <c r="L314" s="148">
        <v>9.0345223848299696</v>
      </c>
      <c r="M314" s="148">
        <v>13.2406623848299</v>
      </c>
      <c r="N314" s="148"/>
      <c r="O314" s="148">
        <v>9.0345223848299696</v>
      </c>
      <c r="P314" s="148">
        <v>9.0345223848299696</v>
      </c>
      <c r="Q314" s="148">
        <v>13.2406623848299</v>
      </c>
      <c r="R314" s="148">
        <v>9.0345223848299696</v>
      </c>
      <c r="S314" s="148">
        <v>9.0345223848299696</v>
      </c>
      <c r="T314" s="148">
        <v>13.2406623848299</v>
      </c>
      <c r="U314" s="148">
        <v>9.0345223848299696</v>
      </c>
      <c r="V314" s="148">
        <v>9.0345223848299696</v>
      </c>
      <c r="W314" s="148">
        <v>13.2406623848299</v>
      </c>
      <c r="X314" s="148">
        <v>9.0345223848299696</v>
      </c>
      <c r="Y314" s="148">
        <v>9.0345223848299696</v>
      </c>
      <c r="Z314" s="148">
        <v>13.2406623848299</v>
      </c>
      <c r="AA314" s="148"/>
      <c r="AB314" s="148">
        <v>9.0345223848299696</v>
      </c>
      <c r="AC314" s="148">
        <v>9.0345223848299696</v>
      </c>
      <c r="AD314" s="148">
        <v>13.2406623848299</v>
      </c>
      <c r="AE314" s="148">
        <v>9.0345223848299696</v>
      </c>
      <c r="AF314" s="148">
        <v>9.0345223848299696</v>
      </c>
      <c r="AG314" s="148">
        <v>13.2406623848299</v>
      </c>
      <c r="AH314" s="148">
        <v>9.0345223848299696</v>
      </c>
      <c r="AI314" s="148">
        <v>9.0345223848299696</v>
      </c>
      <c r="AJ314" s="148">
        <v>13.2406623848299</v>
      </c>
      <c r="AK314" s="148">
        <v>9.0345223848299696</v>
      </c>
      <c r="AL314" s="148">
        <v>9.0345223848299696</v>
      </c>
      <c r="AM314" s="148">
        <v>13.2406623848299</v>
      </c>
      <c r="AN314" s="148"/>
    </row>
    <row r="315" spans="1:40" ht="10.199999999999999" x14ac:dyDescent="0.2">
      <c r="A315" s="147" t="s">
        <v>718</v>
      </c>
      <c r="B315" s="148">
        <v>0</v>
      </c>
      <c r="C315" s="148">
        <v>0</v>
      </c>
      <c r="D315" s="148">
        <v>0</v>
      </c>
      <c r="E315" s="148">
        <v>0</v>
      </c>
      <c r="F315" s="148">
        <v>0</v>
      </c>
      <c r="G315" s="148">
        <v>0</v>
      </c>
      <c r="H315" s="148">
        <v>0</v>
      </c>
      <c r="I315" s="148">
        <v>0</v>
      </c>
      <c r="J315" s="148">
        <v>0</v>
      </c>
      <c r="K315" s="148">
        <v>0</v>
      </c>
      <c r="L315" s="148">
        <v>0</v>
      </c>
      <c r="M315" s="148">
        <v>0</v>
      </c>
      <c r="N315" s="148"/>
      <c r="O315" s="148">
        <v>0</v>
      </c>
      <c r="P315" s="148">
        <v>0</v>
      </c>
      <c r="Q315" s="148">
        <v>0</v>
      </c>
      <c r="R315" s="148">
        <v>0</v>
      </c>
      <c r="S315" s="148">
        <v>0</v>
      </c>
      <c r="T315" s="148">
        <v>0</v>
      </c>
      <c r="U315" s="148">
        <v>0</v>
      </c>
      <c r="V315" s="148">
        <v>0</v>
      </c>
      <c r="W315" s="148">
        <v>0</v>
      </c>
      <c r="X315" s="148">
        <v>0</v>
      </c>
      <c r="Y315" s="148">
        <v>0</v>
      </c>
      <c r="Z315" s="148">
        <v>0</v>
      </c>
      <c r="AA315" s="148"/>
      <c r="AB315" s="148">
        <v>0</v>
      </c>
      <c r="AC315" s="148">
        <v>0</v>
      </c>
      <c r="AD315" s="148">
        <v>0</v>
      </c>
      <c r="AE315" s="148">
        <v>0</v>
      </c>
      <c r="AF315" s="148">
        <v>0</v>
      </c>
      <c r="AG315" s="148">
        <v>0</v>
      </c>
      <c r="AH315" s="148">
        <v>0</v>
      </c>
      <c r="AI315" s="148">
        <v>0</v>
      </c>
      <c r="AJ315" s="148">
        <v>0</v>
      </c>
      <c r="AK315" s="148">
        <v>0</v>
      </c>
      <c r="AL315" s="148">
        <v>0</v>
      </c>
      <c r="AM315" s="148">
        <v>0</v>
      </c>
      <c r="AN315" s="148"/>
    </row>
    <row r="316" spans="1:40" ht="10.199999999999999" x14ac:dyDescent="0.2">
      <c r="A316" s="147" t="s">
        <v>719</v>
      </c>
      <c r="B316" s="148">
        <v>0</v>
      </c>
      <c r="C316" s="148">
        <v>0</v>
      </c>
      <c r="D316" s="148">
        <v>0</v>
      </c>
      <c r="E316" s="148">
        <v>0</v>
      </c>
      <c r="F316" s="148">
        <v>0</v>
      </c>
      <c r="G316" s="148">
        <v>0</v>
      </c>
      <c r="H316" s="148">
        <v>0</v>
      </c>
      <c r="I316" s="148">
        <v>0</v>
      </c>
      <c r="J316" s="148">
        <v>0</v>
      </c>
      <c r="K316" s="148">
        <v>0</v>
      </c>
      <c r="L316" s="148">
        <v>0</v>
      </c>
      <c r="M316" s="148">
        <v>0</v>
      </c>
      <c r="N316" s="148"/>
      <c r="O316" s="148">
        <v>0</v>
      </c>
      <c r="P316" s="148">
        <v>0</v>
      </c>
      <c r="Q316" s="148">
        <v>0</v>
      </c>
      <c r="R316" s="148">
        <v>0</v>
      </c>
      <c r="S316" s="148">
        <v>0</v>
      </c>
      <c r="T316" s="148">
        <v>0</v>
      </c>
      <c r="U316" s="148">
        <v>0</v>
      </c>
      <c r="V316" s="148">
        <v>0</v>
      </c>
      <c r="W316" s="148">
        <v>0</v>
      </c>
      <c r="X316" s="148">
        <v>0</v>
      </c>
      <c r="Y316" s="148">
        <v>0</v>
      </c>
      <c r="Z316" s="148">
        <v>0</v>
      </c>
      <c r="AA316" s="148"/>
      <c r="AB316" s="148">
        <v>0</v>
      </c>
      <c r="AC316" s="148">
        <v>0</v>
      </c>
      <c r="AD316" s="148">
        <v>0</v>
      </c>
      <c r="AE316" s="148">
        <v>0</v>
      </c>
      <c r="AF316" s="148">
        <v>0</v>
      </c>
      <c r="AG316" s="148">
        <v>0</v>
      </c>
      <c r="AH316" s="148">
        <v>0</v>
      </c>
      <c r="AI316" s="148">
        <v>0</v>
      </c>
      <c r="AJ316" s="148">
        <v>0</v>
      </c>
      <c r="AK316" s="148">
        <v>0</v>
      </c>
      <c r="AL316" s="148">
        <v>0</v>
      </c>
      <c r="AM316" s="148">
        <v>0</v>
      </c>
      <c r="AN316" s="148"/>
    </row>
    <row r="317" spans="1:40" ht="10.199999999999999" x14ac:dyDescent="0.2">
      <c r="A317" s="147" t="s">
        <v>720</v>
      </c>
      <c r="B317" s="148">
        <v>0</v>
      </c>
      <c r="C317" s="148">
        <v>0</v>
      </c>
      <c r="D317" s="148">
        <v>95.5625</v>
      </c>
      <c r="E317" s="148">
        <v>0</v>
      </c>
      <c r="F317" s="148">
        <v>0</v>
      </c>
      <c r="G317" s="148">
        <v>95.5625</v>
      </c>
      <c r="H317" s="148">
        <v>0</v>
      </c>
      <c r="I317" s="148">
        <v>0</v>
      </c>
      <c r="J317" s="148">
        <v>95.5625</v>
      </c>
      <c r="K317" s="148">
        <v>0</v>
      </c>
      <c r="L317" s="148">
        <v>0</v>
      </c>
      <c r="M317" s="148">
        <v>95.5625</v>
      </c>
      <c r="N317" s="148"/>
      <c r="O317" s="148">
        <v>0</v>
      </c>
      <c r="P317" s="148">
        <v>0</v>
      </c>
      <c r="Q317" s="148">
        <v>642.1875</v>
      </c>
      <c r="R317" s="148">
        <v>0</v>
      </c>
      <c r="S317" s="148">
        <v>0</v>
      </c>
      <c r="T317" s="148">
        <v>642.1875</v>
      </c>
      <c r="U317" s="148">
        <v>0</v>
      </c>
      <c r="V317" s="148">
        <v>0</v>
      </c>
      <c r="W317" s="148">
        <v>642.1875</v>
      </c>
      <c r="X317" s="148">
        <v>0</v>
      </c>
      <c r="Y317" s="148">
        <v>0</v>
      </c>
      <c r="Z317" s="148">
        <v>642.1875</v>
      </c>
      <c r="AA317" s="148"/>
      <c r="AB317" s="148">
        <v>0</v>
      </c>
      <c r="AC317" s="148">
        <v>0</v>
      </c>
      <c r="AD317" s="148">
        <v>0</v>
      </c>
      <c r="AE317" s="148">
        <v>0</v>
      </c>
      <c r="AF317" s="148">
        <v>0</v>
      </c>
      <c r="AG317" s="148">
        <v>0</v>
      </c>
      <c r="AH317" s="148">
        <v>0</v>
      </c>
      <c r="AI317" s="148">
        <v>0</v>
      </c>
      <c r="AJ317" s="148">
        <v>0</v>
      </c>
      <c r="AK317" s="148">
        <v>0</v>
      </c>
      <c r="AL317" s="148">
        <v>0</v>
      </c>
      <c r="AM317" s="148">
        <v>0</v>
      </c>
      <c r="AN317" s="148"/>
    </row>
    <row r="318" spans="1:40" ht="10.199999999999999" x14ac:dyDescent="0.2">
      <c r="A318" s="147" t="s">
        <v>721</v>
      </c>
      <c r="B318" s="148">
        <v>0</v>
      </c>
      <c r="C318" s="148">
        <v>0</v>
      </c>
      <c r="D318" s="148">
        <v>727.60149999999999</v>
      </c>
      <c r="E318" s="148">
        <v>0</v>
      </c>
      <c r="F318" s="148">
        <v>0</v>
      </c>
      <c r="G318" s="148">
        <v>727.60149999999999</v>
      </c>
      <c r="H318" s="148">
        <v>0</v>
      </c>
      <c r="I318" s="148">
        <v>0</v>
      </c>
      <c r="J318" s="148">
        <v>727.60149999999999</v>
      </c>
      <c r="K318" s="148">
        <v>0</v>
      </c>
      <c r="L318" s="148">
        <v>0</v>
      </c>
      <c r="M318" s="148">
        <v>727.60149999999999</v>
      </c>
      <c r="N318" s="148"/>
      <c r="O318" s="148">
        <v>0</v>
      </c>
      <c r="P318" s="148">
        <v>0</v>
      </c>
      <c r="Q318" s="148">
        <v>0</v>
      </c>
      <c r="R318" s="148">
        <v>0</v>
      </c>
      <c r="S318" s="148">
        <v>0</v>
      </c>
      <c r="T318" s="148">
        <v>0</v>
      </c>
      <c r="U318" s="148">
        <v>0</v>
      </c>
      <c r="V318" s="148">
        <v>0</v>
      </c>
      <c r="W318" s="148">
        <v>0</v>
      </c>
      <c r="X318" s="148">
        <v>0</v>
      </c>
      <c r="Y318" s="148">
        <v>0</v>
      </c>
      <c r="Z318" s="148">
        <v>0</v>
      </c>
      <c r="AA318" s="148"/>
      <c r="AB318" s="148">
        <v>0</v>
      </c>
      <c r="AC318" s="148">
        <v>0</v>
      </c>
      <c r="AD318" s="148">
        <v>0</v>
      </c>
      <c r="AE318" s="148">
        <v>0</v>
      </c>
      <c r="AF318" s="148">
        <v>0</v>
      </c>
      <c r="AG318" s="148">
        <v>0</v>
      </c>
      <c r="AH318" s="148">
        <v>0</v>
      </c>
      <c r="AI318" s="148">
        <v>0</v>
      </c>
      <c r="AJ318" s="148">
        <v>0</v>
      </c>
      <c r="AK318" s="148">
        <v>0</v>
      </c>
      <c r="AL318" s="148">
        <v>0</v>
      </c>
      <c r="AM318" s="148">
        <v>0</v>
      </c>
      <c r="AN318" s="148"/>
    </row>
    <row r="319" spans="1:40" ht="10.199999999999999" x14ac:dyDescent="0.2">
      <c r="A319" s="147" t="s">
        <v>722</v>
      </c>
      <c r="B319" s="148">
        <v>0</v>
      </c>
      <c r="C319" s="148">
        <v>0</v>
      </c>
      <c r="D319" s="148">
        <v>-1787.41617</v>
      </c>
      <c r="E319" s="148">
        <v>-345.45542</v>
      </c>
      <c r="F319" s="148">
        <v>0</v>
      </c>
      <c r="G319" s="148">
        <v>-2163.058</v>
      </c>
      <c r="H319" s="148">
        <v>0</v>
      </c>
      <c r="I319" s="148">
        <v>0</v>
      </c>
      <c r="J319" s="148">
        <v>-1950.04944346808</v>
      </c>
      <c r="K319" s="148">
        <v>0</v>
      </c>
      <c r="L319" s="148">
        <v>0</v>
      </c>
      <c r="M319" s="148">
        <v>-2081.99271448936</v>
      </c>
      <c r="N319" s="148"/>
      <c r="O319" s="148">
        <v>0</v>
      </c>
      <c r="P319" s="148">
        <v>0</v>
      </c>
      <c r="Q319" s="148">
        <v>-2707.6689919169598</v>
      </c>
      <c r="R319" s="148">
        <v>-133.60599999999999</v>
      </c>
      <c r="S319" s="148">
        <v>0</v>
      </c>
      <c r="T319" s="148">
        <v>-2492.6549919169602</v>
      </c>
      <c r="U319" s="148">
        <v>0</v>
      </c>
      <c r="V319" s="148">
        <v>0</v>
      </c>
      <c r="W319" s="148">
        <v>-2635.9089919169601</v>
      </c>
      <c r="X319" s="148">
        <v>0</v>
      </c>
      <c r="Y319" s="148">
        <v>0</v>
      </c>
      <c r="Z319" s="148">
        <v>-2665.9759919169601</v>
      </c>
      <c r="AA319" s="148"/>
      <c r="AB319" s="148">
        <v>0</v>
      </c>
      <c r="AC319" s="148">
        <v>0</v>
      </c>
      <c r="AD319" s="148">
        <v>-2823.2106234539001</v>
      </c>
      <c r="AE319" s="148">
        <v>-1015.98702823936</v>
      </c>
      <c r="AF319" s="148">
        <v>0</v>
      </c>
      <c r="AG319" s="148">
        <v>-1807.22359521454</v>
      </c>
      <c r="AH319" s="148">
        <v>0</v>
      </c>
      <c r="AI319" s="148">
        <v>0</v>
      </c>
      <c r="AJ319" s="148">
        <v>-2823.2106234539001</v>
      </c>
      <c r="AK319" s="148">
        <v>0</v>
      </c>
      <c r="AL319" s="148">
        <v>0</v>
      </c>
      <c r="AM319" s="148">
        <v>-2823.2106234539001</v>
      </c>
      <c r="AN319" s="148"/>
    </row>
    <row r="320" spans="1:40" ht="10.199999999999999" x14ac:dyDescent="0.2">
      <c r="A320" s="147" t="s">
        <v>723</v>
      </c>
      <c r="B320" s="148">
        <v>0</v>
      </c>
      <c r="C320" s="148">
        <v>0</v>
      </c>
      <c r="D320" s="148">
        <v>0</v>
      </c>
      <c r="E320" s="148">
        <v>0</v>
      </c>
      <c r="F320" s="148">
        <v>0</v>
      </c>
      <c r="G320" s="148">
        <v>0</v>
      </c>
      <c r="H320" s="148">
        <v>0</v>
      </c>
      <c r="I320" s="148">
        <v>0</v>
      </c>
      <c r="J320" s="148">
        <v>0</v>
      </c>
      <c r="K320" s="148">
        <v>0</v>
      </c>
      <c r="L320" s="148">
        <v>0</v>
      </c>
      <c r="M320" s="148">
        <v>0</v>
      </c>
      <c r="N320" s="148"/>
      <c r="O320" s="148">
        <v>0</v>
      </c>
      <c r="P320" s="148">
        <v>0</v>
      </c>
      <c r="Q320" s="148">
        <v>0</v>
      </c>
      <c r="R320" s="148">
        <v>0</v>
      </c>
      <c r="S320" s="148">
        <v>0</v>
      </c>
      <c r="T320" s="148">
        <v>0</v>
      </c>
      <c r="U320" s="148">
        <v>0</v>
      </c>
      <c r="V320" s="148">
        <v>0</v>
      </c>
      <c r="W320" s="148">
        <v>0</v>
      </c>
      <c r="X320" s="148">
        <v>0</v>
      </c>
      <c r="Y320" s="148">
        <v>0</v>
      </c>
      <c r="Z320" s="148">
        <v>0</v>
      </c>
      <c r="AA320" s="148"/>
      <c r="AB320" s="148">
        <v>0</v>
      </c>
      <c r="AC320" s="148">
        <v>0</v>
      </c>
      <c r="AD320" s="148">
        <v>0</v>
      </c>
      <c r="AE320" s="148">
        <v>0</v>
      </c>
      <c r="AF320" s="148">
        <v>0</v>
      </c>
      <c r="AG320" s="148">
        <v>0</v>
      </c>
      <c r="AH320" s="148">
        <v>0</v>
      </c>
      <c r="AI320" s="148">
        <v>0</v>
      </c>
      <c r="AJ320" s="148">
        <v>0</v>
      </c>
      <c r="AK320" s="148">
        <v>0</v>
      </c>
      <c r="AL320" s="148">
        <v>0</v>
      </c>
      <c r="AM320" s="148">
        <v>0</v>
      </c>
      <c r="AN320" s="148"/>
    </row>
    <row r="321" spans="1:40" ht="10.199999999999999" x14ac:dyDescent="0.2">
      <c r="A321" s="147" t="s">
        <v>724</v>
      </c>
      <c r="B321" s="148">
        <v>0</v>
      </c>
      <c r="C321" s="148">
        <v>0</v>
      </c>
      <c r="D321" s="148">
        <v>0</v>
      </c>
      <c r="E321" s="148">
        <v>0</v>
      </c>
      <c r="F321" s="148">
        <v>0</v>
      </c>
      <c r="G321" s="148">
        <v>0</v>
      </c>
      <c r="H321" s="148">
        <v>0</v>
      </c>
      <c r="I321" s="148">
        <v>0</v>
      </c>
      <c r="J321" s="148">
        <v>0</v>
      </c>
      <c r="K321" s="148">
        <v>0</v>
      </c>
      <c r="L321" s="148">
        <v>0</v>
      </c>
      <c r="M321" s="148">
        <v>0</v>
      </c>
      <c r="N321" s="148"/>
      <c r="O321" s="148">
        <v>0</v>
      </c>
      <c r="P321" s="148">
        <v>0</v>
      </c>
      <c r="Q321" s="148">
        <v>0</v>
      </c>
      <c r="R321" s="148">
        <v>0</v>
      </c>
      <c r="S321" s="148">
        <v>0</v>
      </c>
      <c r="T321" s="148">
        <v>0</v>
      </c>
      <c r="U321" s="148">
        <v>0</v>
      </c>
      <c r="V321" s="148">
        <v>0</v>
      </c>
      <c r="W321" s="148">
        <v>0</v>
      </c>
      <c r="X321" s="148">
        <v>0</v>
      </c>
      <c r="Y321" s="148">
        <v>0</v>
      </c>
      <c r="Z321" s="148">
        <v>0</v>
      </c>
      <c r="AA321" s="148"/>
      <c r="AB321" s="148">
        <v>0</v>
      </c>
      <c r="AC321" s="148">
        <v>0</v>
      </c>
      <c r="AD321" s="148">
        <v>0</v>
      </c>
      <c r="AE321" s="148">
        <v>0</v>
      </c>
      <c r="AF321" s="148">
        <v>0</v>
      </c>
      <c r="AG321" s="148">
        <v>0</v>
      </c>
      <c r="AH321" s="148">
        <v>0</v>
      </c>
      <c r="AI321" s="148">
        <v>0</v>
      </c>
      <c r="AJ321" s="148">
        <v>0</v>
      </c>
      <c r="AK321" s="148">
        <v>0</v>
      </c>
      <c r="AL321" s="148">
        <v>0</v>
      </c>
      <c r="AM321" s="148">
        <v>0</v>
      </c>
      <c r="AN321" s="148"/>
    </row>
    <row r="322" spans="1:40" ht="10.199999999999999" x14ac:dyDescent="0.2">
      <c r="A322" s="147" t="s">
        <v>725</v>
      </c>
      <c r="B322" s="148">
        <v>9.0345223848299696</v>
      </c>
      <c r="C322" s="148">
        <v>9.0345223848299696</v>
      </c>
      <c r="D322" s="148">
        <v>5334.5067277162398</v>
      </c>
      <c r="E322" s="148">
        <v>-336.42089761517002</v>
      </c>
      <c r="F322" s="148">
        <v>9.0345223848299696</v>
      </c>
      <c r="G322" s="148">
        <v>9369.5192577162306</v>
      </c>
      <c r="H322" s="148">
        <v>9.0345223848299696</v>
      </c>
      <c r="I322" s="148">
        <v>9.0345223848299696</v>
      </c>
      <c r="J322" s="148">
        <v>20703.564804248101</v>
      </c>
      <c r="K322" s="148">
        <v>9.0345223848299696</v>
      </c>
      <c r="L322" s="148">
        <v>9.0345223848299696</v>
      </c>
      <c r="M322" s="148">
        <v>11687.3787532265</v>
      </c>
      <c r="N322" s="148"/>
      <c r="O322" s="148">
        <v>9.0345223848299696</v>
      </c>
      <c r="P322" s="148">
        <v>9.0345223848299696</v>
      </c>
      <c r="Q322" s="148">
        <v>3287.3868579506202</v>
      </c>
      <c r="R322" s="148">
        <v>-124.57147761517</v>
      </c>
      <c r="S322" s="148">
        <v>9.0345223848299696</v>
      </c>
      <c r="T322" s="148">
        <v>3502.40085794796</v>
      </c>
      <c r="U322" s="148">
        <v>9.0345223848299696</v>
      </c>
      <c r="V322" s="148">
        <v>9.0345223848299696</v>
      </c>
      <c r="W322" s="148">
        <v>3359.1468579467301</v>
      </c>
      <c r="X322" s="148">
        <v>9.0345223848299696</v>
      </c>
      <c r="Y322" s="148">
        <v>9.0345223848299696</v>
      </c>
      <c r="Z322" s="148">
        <v>3329.0798579416601</v>
      </c>
      <c r="AA322" s="148"/>
      <c r="AB322" s="148">
        <v>9.0345223848299696</v>
      </c>
      <c r="AC322" s="148">
        <v>9.0345223848299696</v>
      </c>
      <c r="AD322" s="148">
        <v>552.99469356550901</v>
      </c>
      <c r="AE322" s="148">
        <v>-1006.95250585453</v>
      </c>
      <c r="AF322" s="148">
        <v>9.0345223848299696</v>
      </c>
      <c r="AG322" s="148">
        <v>1568.98172179633</v>
      </c>
      <c r="AH322" s="148">
        <v>9.0345223848299696</v>
      </c>
      <c r="AI322" s="148">
        <v>9.0345223848299696</v>
      </c>
      <c r="AJ322" s="148">
        <v>552.99469355631504</v>
      </c>
      <c r="AK322" s="148">
        <v>9.0345223848299696</v>
      </c>
      <c r="AL322" s="148">
        <v>9.0345223848299696</v>
      </c>
      <c r="AM322" s="148">
        <v>552.99469355221004</v>
      </c>
      <c r="AN322" s="148"/>
    </row>
    <row r="323" spans="1:40" ht="10.199999999999999" x14ac:dyDescent="0.2">
      <c r="A323" s="147" t="s">
        <v>726</v>
      </c>
      <c r="B323" s="148">
        <v>0</v>
      </c>
      <c r="C323" s="148">
        <v>0</v>
      </c>
      <c r="D323" s="148">
        <v>-1204.7158511093801</v>
      </c>
      <c r="E323" s="148">
        <v>0</v>
      </c>
      <c r="F323" s="148">
        <v>0</v>
      </c>
      <c r="G323" s="148">
        <v>800.91510967495503</v>
      </c>
      <c r="H323" s="148">
        <v>0</v>
      </c>
      <c r="I323" s="148">
        <v>0</v>
      </c>
      <c r="J323" s="148">
        <v>-282.76753174629602</v>
      </c>
      <c r="K323" s="148">
        <v>0</v>
      </c>
      <c r="L323" s="148">
        <v>0</v>
      </c>
      <c r="M323" s="148">
        <v>686.56827318073897</v>
      </c>
      <c r="N323" s="148"/>
      <c r="O323" s="148">
        <v>0</v>
      </c>
      <c r="P323" s="148">
        <v>0</v>
      </c>
      <c r="Q323" s="148">
        <v>-918.61040937997996</v>
      </c>
      <c r="R323" s="148">
        <v>0</v>
      </c>
      <c r="S323" s="148">
        <v>0</v>
      </c>
      <c r="T323" s="148">
        <v>832.67053954000198</v>
      </c>
      <c r="U323" s="148">
        <v>0</v>
      </c>
      <c r="V323" s="148">
        <v>0</v>
      </c>
      <c r="W323" s="148">
        <v>-282.135227397378</v>
      </c>
      <c r="X323" s="148">
        <v>0</v>
      </c>
      <c r="Y323" s="148">
        <v>0</v>
      </c>
      <c r="Z323" s="148">
        <v>368.07509723736399</v>
      </c>
      <c r="AA323" s="148"/>
      <c r="AB323" s="148">
        <v>0</v>
      </c>
      <c r="AC323" s="148">
        <v>0</v>
      </c>
      <c r="AD323" s="148">
        <v>-1324.8309958887501</v>
      </c>
      <c r="AE323" s="148">
        <v>0</v>
      </c>
      <c r="AF323" s="148">
        <v>0</v>
      </c>
      <c r="AG323" s="148">
        <v>1018.42338870565</v>
      </c>
      <c r="AH323" s="148">
        <v>0</v>
      </c>
      <c r="AI323" s="148">
        <v>0</v>
      </c>
      <c r="AJ323" s="148">
        <v>-445.26660761394999</v>
      </c>
      <c r="AK323" s="148">
        <v>0</v>
      </c>
      <c r="AL323" s="148">
        <v>0</v>
      </c>
      <c r="AM323" s="148">
        <v>751.67421479705001</v>
      </c>
      <c r="AN323" s="148"/>
    </row>
    <row r="324" spans="1:40" ht="10.199999999999999" x14ac:dyDescent="0.2">
      <c r="A324" s="147" t="s">
        <v>727</v>
      </c>
      <c r="B324" s="148">
        <v>0</v>
      </c>
      <c r="C324" s="148">
        <v>0</v>
      </c>
      <c r="D324" s="148">
        <v>0</v>
      </c>
      <c r="E324" s="148">
        <v>0</v>
      </c>
      <c r="F324" s="148">
        <v>0</v>
      </c>
      <c r="G324" s="148">
        <v>0</v>
      </c>
      <c r="H324" s="148">
        <v>0</v>
      </c>
      <c r="I324" s="148">
        <v>0</v>
      </c>
      <c r="J324" s="148">
        <v>0</v>
      </c>
      <c r="K324" s="148">
        <v>0</v>
      </c>
      <c r="L324" s="148">
        <v>0</v>
      </c>
      <c r="M324" s="148">
        <v>0</v>
      </c>
      <c r="N324" s="148"/>
      <c r="O324" s="148">
        <v>0</v>
      </c>
      <c r="P324" s="148">
        <v>0</v>
      </c>
      <c r="Q324" s="148">
        <v>0</v>
      </c>
      <c r="R324" s="148">
        <v>0</v>
      </c>
      <c r="S324" s="148">
        <v>0</v>
      </c>
      <c r="T324" s="148">
        <v>0</v>
      </c>
      <c r="U324" s="148">
        <v>0</v>
      </c>
      <c r="V324" s="148">
        <v>0</v>
      </c>
      <c r="W324" s="148">
        <v>0</v>
      </c>
      <c r="X324" s="148">
        <v>0</v>
      </c>
      <c r="Y324" s="148">
        <v>0</v>
      </c>
      <c r="Z324" s="148">
        <v>0</v>
      </c>
      <c r="AA324" s="148"/>
      <c r="AB324" s="148">
        <v>0</v>
      </c>
      <c r="AC324" s="148">
        <v>0</v>
      </c>
      <c r="AD324" s="148">
        <v>0</v>
      </c>
      <c r="AE324" s="148">
        <v>406.22058618275298</v>
      </c>
      <c r="AF324" s="148">
        <v>-406.22058618275298</v>
      </c>
      <c r="AG324" s="148">
        <v>0</v>
      </c>
      <c r="AH324" s="148">
        <v>0</v>
      </c>
      <c r="AI324" s="148">
        <v>0</v>
      </c>
      <c r="AJ324" s="148">
        <v>0</v>
      </c>
      <c r="AK324" s="148">
        <v>0</v>
      </c>
      <c r="AL324" s="148">
        <v>0</v>
      </c>
      <c r="AM324" s="148">
        <v>0</v>
      </c>
      <c r="AN324" s="148"/>
    </row>
    <row r="325" spans="1:40" ht="10.199999999999999" x14ac:dyDescent="0.2">
      <c r="A325" s="147" t="s">
        <v>728</v>
      </c>
      <c r="B325" s="148">
        <v>0</v>
      </c>
      <c r="C325" s="148">
        <v>0</v>
      </c>
      <c r="D325" s="148">
        <v>0</v>
      </c>
      <c r="E325" s="148">
        <v>0</v>
      </c>
      <c r="F325" s="148">
        <v>0</v>
      </c>
      <c r="G325" s="148">
        <v>0</v>
      </c>
      <c r="H325" s="148">
        <v>0</v>
      </c>
      <c r="I325" s="148">
        <v>0</v>
      </c>
      <c r="J325" s="148">
        <v>0</v>
      </c>
      <c r="K325" s="148">
        <v>0</v>
      </c>
      <c r="L325" s="148">
        <v>0</v>
      </c>
      <c r="M325" s="148">
        <v>0</v>
      </c>
      <c r="N325" s="148"/>
      <c r="O325" s="148">
        <v>0</v>
      </c>
      <c r="P325" s="148">
        <v>0</v>
      </c>
      <c r="Q325" s="148">
        <v>0</v>
      </c>
      <c r="R325" s="148">
        <v>0</v>
      </c>
      <c r="S325" s="148">
        <v>0</v>
      </c>
      <c r="T325" s="148">
        <v>0</v>
      </c>
      <c r="U325" s="148">
        <v>0</v>
      </c>
      <c r="V325" s="148">
        <v>0</v>
      </c>
      <c r="W325" s="148">
        <v>0</v>
      </c>
      <c r="X325" s="148">
        <v>0</v>
      </c>
      <c r="Y325" s="148">
        <v>0</v>
      </c>
      <c r="Z325" s="148">
        <v>0</v>
      </c>
      <c r="AA325" s="148"/>
      <c r="AB325" s="148">
        <v>0</v>
      </c>
      <c r="AC325" s="148">
        <v>0</v>
      </c>
      <c r="AD325" s="148">
        <v>0</v>
      </c>
      <c r="AE325" s="148">
        <v>0</v>
      </c>
      <c r="AF325" s="148">
        <v>0</v>
      </c>
      <c r="AG325" s="148">
        <v>0</v>
      </c>
      <c r="AH325" s="148">
        <v>0</v>
      </c>
      <c r="AI325" s="148">
        <v>0</v>
      </c>
      <c r="AJ325" s="148">
        <v>0</v>
      </c>
      <c r="AK325" s="148">
        <v>0</v>
      </c>
      <c r="AL325" s="148">
        <v>0</v>
      </c>
      <c r="AM325" s="148">
        <v>0</v>
      </c>
      <c r="AN325" s="148"/>
    </row>
    <row r="326" spans="1:40" ht="10.199999999999999" x14ac:dyDescent="0.2">
      <c r="A326" s="147" t="s">
        <v>729</v>
      </c>
      <c r="B326" s="148">
        <v>9.0345223848299696</v>
      </c>
      <c r="C326" s="148">
        <v>9.0345223848299696</v>
      </c>
      <c r="D326" s="148">
        <v>4129.7908766068504</v>
      </c>
      <c r="E326" s="148">
        <v>-336.42089761517002</v>
      </c>
      <c r="F326" s="148">
        <v>9.0345223848299696</v>
      </c>
      <c r="G326" s="148">
        <v>10170.434367391101</v>
      </c>
      <c r="H326" s="148">
        <v>9.0345223848299696</v>
      </c>
      <c r="I326" s="148">
        <v>9.0345223848299696</v>
      </c>
      <c r="J326" s="148">
        <v>20420.797272501801</v>
      </c>
      <c r="K326" s="148">
        <v>9.0345223848299696</v>
      </c>
      <c r="L326" s="148">
        <v>9.0345223848299696</v>
      </c>
      <c r="M326" s="148">
        <v>12373.947026407201</v>
      </c>
      <c r="N326" s="148"/>
      <c r="O326" s="148">
        <v>9.0345223848299696</v>
      </c>
      <c r="P326" s="148">
        <v>9.0345223848299696</v>
      </c>
      <c r="Q326" s="148">
        <v>2368.7764485706398</v>
      </c>
      <c r="R326" s="148">
        <v>-124.57147761517</v>
      </c>
      <c r="S326" s="148">
        <v>9.0345223848299696</v>
      </c>
      <c r="T326" s="148">
        <v>4335.07139748796</v>
      </c>
      <c r="U326" s="148">
        <v>9.0345223848299696</v>
      </c>
      <c r="V326" s="148">
        <v>9.0345223848299696</v>
      </c>
      <c r="W326" s="148">
        <v>3077.0116305493498</v>
      </c>
      <c r="X326" s="148">
        <v>9.0345223848299696</v>
      </c>
      <c r="Y326" s="148">
        <v>9.0345223848299696</v>
      </c>
      <c r="Z326" s="148">
        <v>3697.1549551790199</v>
      </c>
      <c r="AA326" s="148"/>
      <c r="AB326" s="148">
        <v>9.0345223848299696</v>
      </c>
      <c r="AC326" s="148">
        <v>9.0345223848299696</v>
      </c>
      <c r="AD326" s="148">
        <v>-771.83630232324901</v>
      </c>
      <c r="AE326" s="148">
        <v>-600.73191967177604</v>
      </c>
      <c r="AF326" s="148">
        <v>-397.186063797923</v>
      </c>
      <c r="AG326" s="148">
        <v>2587.4051105019898</v>
      </c>
      <c r="AH326" s="148">
        <v>9.0345223848299696</v>
      </c>
      <c r="AI326" s="148">
        <v>9.0345223848299696</v>
      </c>
      <c r="AJ326" s="148">
        <v>107.728085942365</v>
      </c>
      <c r="AK326" s="148">
        <v>9.0345223848299696</v>
      </c>
      <c r="AL326" s="148">
        <v>9.0345223848299696</v>
      </c>
      <c r="AM326" s="148">
        <v>1304.6689083492599</v>
      </c>
      <c r="AN326" s="148"/>
    </row>
    <row r="327" spans="1:40" ht="14.4" x14ac:dyDescent="0.3">
      <c r="A327" s="147" t="s">
        <v>730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ht="10.199999999999999" x14ac:dyDescent="0.2">
      <c r="A328" s="147" t="s">
        <v>731</v>
      </c>
      <c r="B328" s="148">
        <v>43.021535165857003</v>
      </c>
      <c r="C328" s="148">
        <v>43.021535165857003</v>
      </c>
      <c r="D328" s="148">
        <v>43.021535165857003</v>
      </c>
      <c r="E328" s="148">
        <v>43.021535165857003</v>
      </c>
      <c r="F328" s="148">
        <v>43.021535165857003</v>
      </c>
      <c r="G328" s="148">
        <v>43.021535165857003</v>
      </c>
      <c r="H328" s="148">
        <v>43.021535165857003</v>
      </c>
      <c r="I328" s="148">
        <v>43.021535165857003</v>
      </c>
      <c r="J328" s="148">
        <v>43.021535165857003</v>
      </c>
      <c r="K328" s="148">
        <v>43.021535165857003</v>
      </c>
      <c r="L328" s="148">
        <v>43.021535165857003</v>
      </c>
      <c r="M328" s="148">
        <v>43.021535165857003</v>
      </c>
      <c r="N328" s="148"/>
      <c r="O328" s="148">
        <v>43.021535165857003</v>
      </c>
      <c r="P328" s="148">
        <v>43.021535165857003</v>
      </c>
      <c r="Q328" s="148">
        <v>43.021535165857003</v>
      </c>
      <c r="R328" s="148">
        <v>43.021535165857003</v>
      </c>
      <c r="S328" s="148">
        <v>43.021535165857003</v>
      </c>
      <c r="T328" s="148">
        <v>43.021535165857003</v>
      </c>
      <c r="U328" s="148">
        <v>43.021535165857003</v>
      </c>
      <c r="V328" s="148">
        <v>43.021535165857003</v>
      </c>
      <c r="W328" s="148">
        <v>43.021535165857003</v>
      </c>
      <c r="X328" s="148">
        <v>43.021535165857003</v>
      </c>
      <c r="Y328" s="148">
        <v>43.021535165857003</v>
      </c>
      <c r="Z328" s="148">
        <v>43.021535165857003</v>
      </c>
      <c r="AA328" s="148"/>
      <c r="AB328" s="148">
        <v>43.021535165857003</v>
      </c>
      <c r="AC328" s="148">
        <v>43.021535165857003</v>
      </c>
      <c r="AD328" s="148">
        <v>43.021535165857003</v>
      </c>
      <c r="AE328" s="148">
        <v>43.021535165857003</v>
      </c>
      <c r="AF328" s="148">
        <v>43.021535165857003</v>
      </c>
      <c r="AG328" s="148">
        <v>43.021535165857003</v>
      </c>
      <c r="AH328" s="148">
        <v>43.021535165857003</v>
      </c>
      <c r="AI328" s="148">
        <v>43.021535165857003</v>
      </c>
      <c r="AJ328" s="148">
        <v>43.021535165857003</v>
      </c>
      <c r="AK328" s="148">
        <v>43.021535165857003</v>
      </c>
      <c r="AL328" s="148">
        <v>43.021535165857003</v>
      </c>
      <c r="AM328" s="148">
        <v>43.021535165857003</v>
      </c>
      <c r="AN328" s="148"/>
    </row>
    <row r="329" spans="1:40" ht="10.199999999999999" x14ac:dyDescent="0.2">
      <c r="A329" s="147" t="s">
        <v>732</v>
      </c>
      <c r="B329" s="148">
        <v>50.954355886658902</v>
      </c>
      <c r="C329" s="148">
        <v>50.954355886658902</v>
      </c>
      <c r="D329" s="148">
        <v>50.954355886658902</v>
      </c>
      <c r="E329" s="148">
        <v>50.954355886658902</v>
      </c>
      <c r="F329" s="148">
        <v>50.954355886658902</v>
      </c>
      <c r="G329" s="148">
        <v>50.954355886658902</v>
      </c>
      <c r="H329" s="148">
        <v>50.954355886658902</v>
      </c>
      <c r="I329" s="148">
        <v>50.954355886658902</v>
      </c>
      <c r="J329" s="148">
        <v>50.954355886658902</v>
      </c>
      <c r="K329" s="148">
        <v>50.954355886658902</v>
      </c>
      <c r="L329" s="148">
        <v>50.954355886658902</v>
      </c>
      <c r="M329" s="148">
        <v>50.954355886658902</v>
      </c>
      <c r="N329" s="148"/>
      <c r="O329" s="148">
        <v>42.987689219992298</v>
      </c>
      <c r="P329" s="148">
        <v>42.987689219992298</v>
      </c>
      <c r="Q329" s="148">
        <v>42.987689219992298</v>
      </c>
      <c r="R329" s="148">
        <v>42.987689219992298</v>
      </c>
      <c r="S329" s="148">
        <v>42.987689219992298</v>
      </c>
      <c r="T329" s="148">
        <v>42.987689219992298</v>
      </c>
      <c r="U329" s="148">
        <v>42.987689219992298</v>
      </c>
      <c r="V329" s="148">
        <v>42.987689219992298</v>
      </c>
      <c r="W329" s="148">
        <v>42.987689219992298</v>
      </c>
      <c r="X329" s="148">
        <v>42.987689219992298</v>
      </c>
      <c r="Y329" s="148">
        <v>42.987689219992298</v>
      </c>
      <c r="Z329" s="148">
        <v>42.987689219992298</v>
      </c>
      <c r="AA329" s="148"/>
      <c r="AB329" s="148">
        <v>37.153522553325601</v>
      </c>
      <c r="AC329" s="148">
        <v>37.153522553325601</v>
      </c>
      <c r="AD329" s="148">
        <v>37.153522553325601</v>
      </c>
      <c r="AE329" s="148">
        <v>37.153522553325601</v>
      </c>
      <c r="AF329" s="148">
        <v>37.153522553325601</v>
      </c>
      <c r="AG329" s="148">
        <v>37.153522553325601</v>
      </c>
      <c r="AH329" s="148">
        <v>37.153522553325601</v>
      </c>
      <c r="AI329" s="148">
        <v>37.153522553325601</v>
      </c>
      <c r="AJ329" s="148">
        <v>37.153522553325601</v>
      </c>
      <c r="AK329" s="148">
        <v>37.153522553325601</v>
      </c>
      <c r="AL329" s="148">
        <v>37.153522553325601</v>
      </c>
      <c r="AM329" s="148">
        <v>37.153522553325601</v>
      </c>
      <c r="AN329" s="148"/>
    </row>
    <row r="330" spans="1:40" ht="10.199999999999999" x14ac:dyDescent="0.2">
      <c r="A330" s="147" t="s">
        <v>733</v>
      </c>
      <c r="B330" s="148">
        <v>0</v>
      </c>
      <c r="C330" s="148">
        <v>0</v>
      </c>
      <c r="D330" s="148">
        <v>4.2061400000000004</v>
      </c>
      <c r="E330" s="148">
        <v>0</v>
      </c>
      <c r="F330" s="148">
        <v>0</v>
      </c>
      <c r="G330" s="148">
        <v>4.2061400000000004</v>
      </c>
      <c r="H330" s="148">
        <v>0</v>
      </c>
      <c r="I330" s="148">
        <v>0</v>
      </c>
      <c r="J330" s="148">
        <v>4.2061400000000004</v>
      </c>
      <c r="K330" s="148">
        <v>0</v>
      </c>
      <c r="L330" s="148">
        <v>0</v>
      </c>
      <c r="M330" s="148">
        <v>4.2061400000000004</v>
      </c>
      <c r="N330" s="148"/>
      <c r="O330" s="148">
        <v>0</v>
      </c>
      <c r="P330" s="148">
        <v>0</v>
      </c>
      <c r="Q330" s="148">
        <v>4.2061400000000004</v>
      </c>
      <c r="R330" s="148">
        <v>0</v>
      </c>
      <c r="S330" s="148">
        <v>0</v>
      </c>
      <c r="T330" s="148">
        <v>4.2061400000000004</v>
      </c>
      <c r="U330" s="148">
        <v>0</v>
      </c>
      <c r="V330" s="148">
        <v>0</v>
      </c>
      <c r="W330" s="148">
        <v>4.2061400000000004</v>
      </c>
      <c r="X330" s="148">
        <v>0</v>
      </c>
      <c r="Y330" s="148">
        <v>0</v>
      </c>
      <c r="Z330" s="148">
        <v>4.2061400000000004</v>
      </c>
      <c r="AA330" s="148"/>
      <c r="AB330" s="148">
        <v>0</v>
      </c>
      <c r="AC330" s="148">
        <v>0</v>
      </c>
      <c r="AD330" s="148">
        <v>4.2061400000000004</v>
      </c>
      <c r="AE330" s="148">
        <v>0</v>
      </c>
      <c r="AF330" s="148">
        <v>0</v>
      </c>
      <c r="AG330" s="148">
        <v>4.2061400000000004</v>
      </c>
      <c r="AH330" s="148">
        <v>0</v>
      </c>
      <c r="AI330" s="148">
        <v>0</v>
      </c>
      <c r="AJ330" s="148">
        <v>4.2061400000000004</v>
      </c>
      <c r="AK330" s="148">
        <v>0</v>
      </c>
      <c r="AL330" s="148">
        <v>0</v>
      </c>
      <c r="AM330" s="148">
        <v>4.2061400000000004</v>
      </c>
      <c r="AN330" s="148"/>
    </row>
    <row r="331" spans="1:40" ht="14.4" x14ac:dyDescent="0.3">
      <c r="A331" s="147" t="s">
        <v>734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4.4" x14ac:dyDescent="0.3">
      <c r="A332" s="146" t="s">
        <v>735</v>
      </c>
      <c r="B332" s="148">
        <v>0</v>
      </c>
      <c r="C332" s="148">
        <v>0</v>
      </c>
      <c r="D332" s="148">
        <v>0</v>
      </c>
      <c r="E332" s="148">
        <v>0</v>
      </c>
      <c r="F332" s="148">
        <v>0</v>
      </c>
      <c r="G332" s="148">
        <v>0</v>
      </c>
      <c r="H332" s="148">
        <v>0</v>
      </c>
      <c r="I332" s="148">
        <v>0</v>
      </c>
      <c r="J332" s="148">
        <v>0</v>
      </c>
      <c r="K332" s="148">
        <v>0</v>
      </c>
      <c r="L332" s="148">
        <v>0</v>
      </c>
      <c r="M332" s="148">
        <v>0</v>
      </c>
      <c r="N332" s="10"/>
      <c r="O332" s="148">
        <v>0</v>
      </c>
      <c r="P332" s="148">
        <v>0</v>
      </c>
      <c r="Q332" s="148">
        <v>0</v>
      </c>
      <c r="R332" s="148">
        <v>0</v>
      </c>
      <c r="S332" s="148">
        <v>0</v>
      </c>
      <c r="T332" s="148">
        <v>0</v>
      </c>
      <c r="U332" s="148">
        <v>0</v>
      </c>
      <c r="V332" s="148">
        <v>0</v>
      </c>
      <c r="W332" s="148">
        <v>0</v>
      </c>
      <c r="X332" s="148">
        <v>0</v>
      </c>
      <c r="Y332" s="148">
        <v>0</v>
      </c>
      <c r="Z332" s="148">
        <v>0</v>
      </c>
      <c r="AA332" s="10"/>
      <c r="AB332" s="148">
        <v>0</v>
      </c>
      <c r="AC332" s="148">
        <v>0</v>
      </c>
      <c r="AD332" s="148">
        <v>0</v>
      </c>
      <c r="AE332" s="148">
        <v>0</v>
      </c>
      <c r="AF332" s="148">
        <v>0</v>
      </c>
      <c r="AG332" s="148">
        <v>0</v>
      </c>
      <c r="AH332" s="148">
        <v>0</v>
      </c>
      <c r="AI332" s="148">
        <v>0</v>
      </c>
      <c r="AJ332" s="148">
        <v>0</v>
      </c>
      <c r="AK332" s="148">
        <v>0</v>
      </c>
      <c r="AL332" s="148">
        <v>0</v>
      </c>
      <c r="AM332" s="148">
        <v>0</v>
      </c>
      <c r="AN332" s="10"/>
    </row>
    <row r="333" spans="1:40" ht="14.4" x14ac:dyDescent="0.3">
      <c r="A333" s="147" t="s">
        <v>736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48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48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48"/>
    </row>
    <row r="334" spans="1:40" ht="10.199999999999999" x14ac:dyDescent="0.2">
      <c r="A334" s="147" t="s">
        <v>737</v>
      </c>
      <c r="B334" s="148">
        <v>0</v>
      </c>
      <c r="C334" s="148">
        <v>0</v>
      </c>
      <c r="D334" s="148">
        <v>0</v>
      </c>
      <c r="E334" s="148">
        <v>0</v>
      </c>
      <c r="F334" s="148">
        <v>0</v>
      </c>
      <c r="G334" s="148">
        <v>0</v>
      </c>
      <c r="H334" s="148">
        <v>0</v>
      </c>
      <c r="I334" s="148">
        <v>0</v>
      </c>
      <c r="J334" s="148">
        <v>0</v>
      </c>
      <c r="K334" s="148">
        <v>0</v>
      </c>
      <c r="L334" s="148">
        <v>0</v>
      </c>
      <c r="M334" s="148">
        <v>0</v>
      </c>
      <c r="N334" s="148"/>
      <c r="O334" s="148">
        <v>0</v>
      </c>
      <c r="P334" s="148">
        <v>0</v>
      </c>
      <c r="Q334" s="148">
        <v>0</v>
      </c>
      <c r="R334" s="148">
        <v>0</v>
      </c>
      <c r="S334" s="148">
        <v>0</v>
      </c>
      <c r="T334" s="148">
        <v>0</v>
      </c>
      <c r="U334" s="148">
        <v>0</v>
      </c>
      <c r="V334" s="148">
        <v>0</v>
      </c>
      <c r="W334" s="148">
        <v>0</v>
      </c>
      <c r="X334" s="148">
        <v>0</v>
      </c>
      <c r="Y334" s="148">
        <v>0</v>
      </c>
      <c r="Z334" s="148">
        <v>0</v>
      </c>
      <c r="AA334" s="148"/>
      <c r="AB334" s="148">
        <v>0</v>
      </c>
      <c r="AC334" s="148">
        <v>0</v>
      </c>
      <c r="AD334" s="148">
        <v>0</v>
      </c>
      <c r="AE334" s="148">
        <v>0</v>
      </c>
      <c r="AF334" s="148">
        <v>0</v>
      </c>
      <c r="AG334" s="148">
        <v>0</v>
      </c>
      <c r="AH334" s="148">
        <v>0</v>
      </c>
      <c r="AI334" s="148">
        <v>0</v>
      </c>
      <c r="AJ334" s="148">
        <v>0</v>
      </c>
      <c r="AK334" s="148">
        <v>0</v>
      </c>
      <c r="AL334" s="148">
        <v>0</v>
      </c>
      <c r="AM334" s="148">
        <v>0</v>
      </c>
      <c r="AN334" s="148"/>
    </row>
    <row r="335" spans="1:40" ht="10.199999999999999" x14ac:dyDescent="0.2">
      <c r="A335" s="147" t="s">
        <v>738</v>
      </c>
      <c r="B335" s="148">
        <v>0</v>
      </c>
      <c r="C335" s="148">
        <v>0</v>
      </c>
      <c r="D335" s="148">
        <v>0</v>
      </c>
      <c r="E335" s="148">
        <v>0</v>
      </c>
      <c r="F335" s="148">
        <v>0</v>
      </c>
      <c r="G335" s="148">
        <v>0</v>
      </c>
      <c r="H335" s="148">
        <v>0</v>
      </c>
      <c r="I335" s="148">
        <v>0</v>
      </c>
      <c r="J335" s="148">
        <v>0</v>
      </c>
      <c r="K335" s="148">
        <v>0</v>
      </c>
      <c r="L335" s="148">
        <v>0</v>
      </c>
      <c r="M335" s="148">
        <v>0</v>
      </c>
      <c r="N335" s="148"/>
      <c r="O335" s="148">
        <v>0</v>
      </c>
      <c r="P335" s="148">
        <v>0</v>
      </c>
      <c r="Q335" s="148">
        <v>0</v>
      </c>
      <c r="R335" s="148">
        <v>0</v>
      </c>
      <c r="S335" s="148">
        <v>0</v>
      </c>
      <c r="T335" s="148">
        <v>0</v>
      </c>
      <c r="U335" s="148">
        <v>0</v>
      </c>
      <c r="V335" s="148">
        <v>0</v>
      </c>
      <c r="W335" s="148">
        <v>0</v>
      </c>
      <c r="X335" s="148">
        <v>0</v>
      </c>
      <c r="Y335" s="148">
        <v>0</v>
      </c>
      <c r="Z335" s="148">
        <v>0</v>
      </c>
      <c r="AA335" s="148"/>
      <c r="AB335" s="148">
        <v>0</v>
      </c>
      <c r="AC335" s="148">
        <v>0</v>
      </c>
      <c r="AD335" s="148">
        <v>0</v>
      </c>
      <c r="AE335" s="148">
        <v>0</v>
      </c>
      <c r="AF335" s="148">
        <v>0</v>
      </c>
      <c r="AG335" s="148">
        <v>0</v>
      </c>
      <c r="AH335" s="148">
        <v>0</v>
      </c>
      <c r="AI335" s="148">
        <v>0</v>
      </c>
      <c r="AJ335" s="148">
        <v>0</v>
      </c>
      <c r="AK335" s="148">
        <v>0</v>
      </c>
      <c r="AL335" s="148">
        <v>0</v>
      </c>
      <c r="AM335" s="148">
        <v>0</v>
      </c>
      <c r="AN335" s="148"/>
    </row>
    <row r="336" spans="1:40" ht="10.199999999999999" x14ac:dyDescent="0.2">
      <c r="A336" s="147" t="s">
        <v>739</v>
      </c>
      <c r="B336" s="148">
        <v>10393.028243503901</v>
      </c>
      <c r="C336" s="148">
        <v>6552.4341323889303</v>
      </c>
      <c r="D336" s="148">
        <v>3813.13143873117</v>
      </c>
      <c r="E336" s="148">
        <v>2080.9939614039399</v>
      </c>
      <c r="F336" s="148">
        <v>5886.1139458839398</v>
      </c>
      <c r="G336" s="148">
        <v>4238.8060920161697</v>
      </c>
      <c r="H336" s="148">
        <v>7364.2275416780203</v>
      </c>
      <c r="I336" s="148">
        <v>6694.4581869706299</v>
      </c>
      <c r="J336" s="148">
        <v>2497.0075127841501</v>
      </c>
      <c r="K336" s="148">
        <v>2099.3837951865798</v>
      </c>
      <c r="L336" s="148">
        <v>3930.6918351098998</v>
      </c>
      <c r="M336" s="148">
        <v>4425.9666660888697</v>
      </c>
      <c r="N336" s="148"/>
      <c r="O336" s="148">
        <v>8171.10646132691</v>
      </c>
      <c r="P336" s="148">
        <v>6928.0509637102696</v>
      </c>
      <c r="Q336" s="148">
        <v>1844.5526819691099</v>
      </c>
      <c r="R336" s="148">
        <v>1945.3614179921501</v>
      </c>
      <c r="S336" s="148">
        <v>3964.3016515068198</v>
      </c>
      <c r="T336" s="148">
        <v>2436.3583922012999</v>
      </c>
      <c r="U336" s="148">
        <v>6424.9246770961199</v>
      </c>
      <c r="V336" s="148">
        <v>6707.6429091256596</v>
      </c>
      <c r="W336" s="148">
        <v>537.48731872389897</v>
      </c>
      <c r="X336" s="148">
        <v>2218.77996610733</v>
      </c>
      <c r="Y336" s="148">
        <v>4327.4337889805702</v>
      </c>
      <c r="Z336" s="148">
        <v>4134.3554734809604</v>
      </c>
      <c r="AA336" s="148"/>
      <c r="AB336" s="148">
        <v>8947.8432745355294</v>
      </c>
      <c r="AC336" s="148">
        <v>7721.4021209311204</v>
      </c>
      <c r="AD336" s="148">
        <v>2076.8462918916998</v>
      </c>
      <c r="AE336" s="148">
        <v>1350.9961823071501</v>
      </c>
      <c r="AF336" s="148">
        <v>3937.6487000870802</v>
      </c>
      <c r="AG336" s="148">
        <v>2566.7957266139301</v>
      </c>
      <c r="AH336" s="148">
        <v>6275.1691099183699</v>
      </c>
      <c r="AI336" s="148">
        <v>7195.75427703879</v>
      </c>
      <c r="AJ336" s="148">
        <v>1196.52761856344</v>
      </c>
      <c r="AK336" s="148">
        <v>1928.7709740682999</v>
      </c>
      <c r="AL336" s="148">
        <v>3931.2386251446201</v>
      </c>
      <c r="AM336" s="148">
        <v>3216.86967366216</v>
      </c>
      <c r="AN336" s="148"/>
    </row>
    <row r="337" spans="1:40" ht="10.199999999999999" x14ac:dyDescent="0.2">
      <c r="A337" s="147" t="s">
        <v>740</v>
      </c>
      <c r="B337" s="148">
        <v>59976.243351744801</v>
      </c>
      <c r="C337" s="148">
        <v>59976.243351744801</v>
      </c>
      <c r="D337" s="148">
        <v>59976.243351744502</v>
      </c>
      <c r="E337" s="148">
        <v>59976.243351744502</v>
      </c>
      <c r="F337" s="148">
        <v>59976.243351744502</v>
      </c>
      <c r="G337" s="148">
        <v>59976.243351744299</v>
      </c>
      <c r="H337" s="148">
        <v>59976.243351744597</v>
      </c>
      <c r="I337" s="148">
        <v>59976.243351745201</v>
      </c>
      <c r="J337" s="148">
        <v>59976.243351744801</v>
      </c>
      <c r="K337" s="148">
        <v>59976.243351744401</v>
      </c>
      <c r="L337" s="148">
        <v>59976.243351744</v>
      </c>
      <c r="M337" s="148">
        <v>59976.243351746198</v>
      </c>
      <c r="N337" s="148"/>
      <c r="O337" s="148">
        <v>49640.355701299202</v>
      </c>
      <c r="P337" s="148">
        <v>49640.355701326902</v>
      </c>
      <c r="Q337" s="148">
        <v>49640.355701344502</v>
      </c>
      <c r="R337" s="148">
        <v>49640.355701385801</v>
      </c>
      <c r="S337" s="148">
        <v>49640.355701443797</v>
      </c>
      <c r="T337" s="148">
        <v>49640.355701498003</v>
      </c>
      <c r="U337" s="148">
        <v>49640.355701582499</v>
      </c>
      <c r="V337" s="148">
        <v>49640.355701686502</v>
      </c>
      <c r="W337" s="148">
        <v>49640.355701800501</v>
      </c>
      <c r="X337" s="148">
        <v>49640.3557019246</v>
      </c>
      <c r="Y337" s="148">
        <v>49640.355702070803</v>
      </c>
      <c r="Z337" s="148">
        <v>49640.355702221103</v>
      </c>
      <c r="AA337" s="148"/>
      <c r="AB337" s="148">
        <v>50345.8625711485</v>
      </c>
      <c r="AC337" s="148">
        <v>50345.862571376398</v>
      </c>
      <c r="AD337" s="148">
        <v>50345.8625715854</v>
      </c>
      <c r="AE337" s="148">
        <v>50345.862571801801</v>
      </c>
      <c r="AF337" s="148">
        <v>50345.8625721059</v>
      </c>
      <c r="AG337" s="148">
        <v>50345.862572393598</v>
      </c>
      <c r="AH337" s="148">
        <v>50345.862572732898</v>
      </c>
      <c r="AI337" s="148">
        <v>50345.862573122096</v>
      </c>
      <c r="AJ337" s="148">
        <v>50345.862573551</v>
      </c>
      <c r="AK337" s="148">
        <v>50345.862573947801</v>
      </c>
      <c r="AL337" s="148">
        <v>50345.862574392697</v>
      </c>
      <c r="AM337" s="148">
        <v>50345.862574762199</v>
      </c>
      <c r="AN337" s="148"/>
    </row>
    <row r="338" spans="1:40" ht="14.4" x14ac:dyDescent="0.3">
      <c r="A338" s="147" t="s">
        <v>741</v>
      </c>
      <c r="B338" s="148">
        <v>283545.60290983203</v>
      </c>
      <c r="C338" s="148">
        <v>283545.60290983203</v>
      </c>
      <c r="D338" s="148">
        <v>283545.60290983203</v>
      </c>
      <c r="E338" s="148">
        <v>283545.60290983203</v>
      </c>
      <c r="F338" s="148">
        <v>283545.60290983203</v>
      </c>
      <c r="G338" s="148">
        <v>283545.60290983203</v>
      </c>
      <c r="H338" s="148">
        <v>283545.60290983401</v>
      </c>
      <c r="I338" s="148">
        <v>283545.60290983599</v>
      </c>
      <c r="J338" s="148">
        <v>283545.602909835</v>
      </c>
      <c r="K338" s="148">
        <v>283545.60290983401</v>
      </c>
      <c r="L338" s="148">
        <v>283545.60290983203</v>
      </c>
      <c r="M338" s="148">
        <v>283545.60290984099</v>
      </c>
      <c r="N338" s="10"/>
      <c r="O338" s="148">
        <v>251981.80509472199</v>
      </c>
      <c r="P338" s="148">
        <v>251981.80509483299</v>
      </c>
      <c r="Q338" s="148">
        <v>251981.80509495901</v>
      </c>
      <c r="R338" s="148">
        <v>251981.80509512499</v>
      </c>
      <c r="S338" s="148">
        <v>251981.80509535701</v>
      </c>
      <c r="T338" s="148">
        <v>251981.805095616</v>
      </c>
      <c r="U338" s="148">
        <v>251981.805095955</v>
      </c>
      <c r="V338" s="148">
        <v>251981.805096372</v>
      </c>
      <c r="W338" s="148">
        <v>251981.80509684599</v>
      </c>
      <c r="X338" s="148">
        <v>251981.80509734299</v>
      </c>
      <c r="Y338" s="148">
        <v>251981.805097929</v>
      </c>
      <c r="Z338" s="148">
        <v>251981.80509852301</v>
      </c>
      <c r="AA338" s="10"/>
      <c r="AB338" s="148">
        <v>256907.88491610199</v>
      </c>
      <c r="AC338" s="148">
        <v>256907.88491701501</v>
      </c>
      <c r="AD338" s="148">
        <v>256907.884917977</v>
      </c>
      <c r="AE338" s="148">
        <v>256907.88491884401</v>
      </c>
      <c r="AF338" s="148">
        <v>256907.88492006299</v>
      </c>
      <c r="AG338" s="148">
        <v>256907.88492127601</v>
      </c>
      <c r="AH338" s="148">
        <v>256907.88492263501</v>
      </c>
      <c r="AI338" s="148">
        <v>256907.88492419501</v>
      </c>
      <c r="AJ338" s="148">
        <v>256907.88492588801</v>
      </c>
      <c r="AK338" s="148">
        <v>256907.884927479</v>
      </c>
      <c r="AL338" s="148">
        <v>256907.88492926201</v>
      </c>
      <c r="AM338" s="148">
        <v>256907.884930667</v>
      </c>
      <c r="AN338" s="10"/>
    </row>
    <row r="339" spans="1:40" ht="14.4" x14ac:dyDescent="0.3">
      <c r="A339" s="147" t="s">
        <v>742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48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48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48"/>
    </row>
    <row r="340" spans="1:40" ht="10.199999999999999" x14ac:dyDescent="0.2">
      <c r="A340" s="147" t="s">
        <v>743</v>
      </c>
      <c r="B340" s="148">
        <v>0</v>
      </c>
      <c r="C340" s="148">
        <v>0</v>
      </c>
      <c r="D340" s="148">
        <v>1</v>
      </c>
      <c r="E340" s="148">
        <v>0</v>
      </c>
      <c r="F340" s="148">
        <v>0</v>
      </c>
      <c r="G340" s="148">
        <v>1</v>
      </c>
      <c r="H340" s="148">
        <v>0</v>
      </c>
      <c r="I340" s="148">
        <v>0</v>
      </c>
      <c r="J340" s="148">
        <v>1</v>
      </c>
      <c r="K340" s="148">
        <v>0</v>
      </c>
      <c r="L340" s="148">
        <v>0</v>
      </c>
      <c r="M340" s="148">
        <v>1</v>
      </c>
      <c r="N340" s="148"/>
      <c r="O340" s="148">
        <v>0</v>
      </c>
      <c r="P340" s="148">
        <v>0</v>
      </c>
      <c r="Q340" s="148">
        <v>1</v>
      </c>
      <c r="R340" s="148">
        <v>0</v>
      </c>
      <c r="S340" s="148">
        <v>0</v>
      </c>
      <c r="T340" s="148">
        <v>1</v>
      </c>
      <c r="U340" s="148">
        <v>0</v>
      </c>
      <c r="V340" s="148">
        <v>0</v>
      </c>
      <c r="W340" s="148">
        <v>1</v>
      </c>
      <c r="X340" s="148">
        <v>0</v>
      </c>
      <c r="Y340" s="148">
        <v>0</v>
      </c>
      <c r="Z340" s="148">
        <v>1</v>
      </c>
      <c r="AA340" s="148"/>
      <c r="AB340" s="148">
        <v>0</v>
      </c>
      <c r="AC340" s="148">
        <v>0</v>
      </c>
      <c r="AD340" s="148">
        <v>1</v>
      </c>
      <c r="AE340" s="148">
        <v>0</v>
      </c>
      <c r="AF340" s="148">
        <v>0</v>
      </c>
      <c r="AG340" s="148">
        <v>1</v>
      </c>
      <c r="AH340" s="148">
        <v>0</v>
      </c>
      <c r="AI340" s="148">
        <v>0</v>
      </c>
      <c r="AJ340" s="148">
        <v>1</v>
      </c>
      <c r="AK340" s="148">
        <v>0</v>
      </c>
      <c r="AL340" s="148">
        <v>0</v>
      </c>
      <c r="AM340" s="148">
        <v>1</v>
      </c>
      <c r="AN340" s="148"/>
    </row>
    <row r="341" spans="1:40" ht="10.199999999999999" x14ac:dyDescent="0.2">
      <c r="A341" s="147" t="s">
        <v>744</v>
      </c>
      <c r="B341" s="148">
        <v>0</v>
      </c>
      <c r="C341" s="148">
        <v>0</v>
      </c>
      <c r="D341" s="148">
        <v>1</v>
      </c>
      <c r="E341" s="148">
        <v>0</v>
      </c>
      <c r="F341" s="148">
        <v>0</v>
      </c>
      <c r="G341" s="148">
        <v>1</v>
      </c>
      <c r="H341" s="148">
        <v>0</v>
      </c>
      <c r="I341" s="148">
        <v>0</v>
      </c>
      <c r="J341" s="148">
        <v>1</v>
      </c>
      <c r="K341" s="148">
        <v>0</v>
      </c>
      <c r="L341" s="148">
        <v>0</v>
      </c>
      <c r="M341" s="148">
        <v>1</v>
      </c>
      <c r="N341" s="148"/>
      <c r="O341" s="148">
        <v>0</v>
      </c>
      <c r="P341" s="148">
        <v>0</v>
      </c>
      <c r="Q341" s="148">
        <v>1</v>
      </c>
      <c r="R341" s="148">
        <v>0</v>
      </c>
      <c r="S341" s="148">
        <v>0</v>
      </c>
      <c r="T341" s="148">
        <v>1</v>
      </c>
      <c r="U341" s="148">
        <v>0</v>
      </c>
      <c r="V341" s="148">
        <v>0</v>
      </c>
      <c r="W341" s="148">
        <v>1</v>
      </c>
      <c r="X341" s="148">
        <v>0</v>
      </c>
      <c r="Y341" s="148">
        <v>0</v>
      </c>
      <c r="Z341" s="148">
        <v>1</v>
      </c>
      <c r="AA341" s="148"/>
      <c r="AB341" s="148">
        <v>0</v>
      </c>
      <c r="AC341" s="148">
        <v>0</v>
      </c>
      <c r="AD341" s="148">
        <v>1</v>
      </c>
      <c r="AE341" s="148">
        <v>0</v>
      </c>
      <c r="AF341" s="148">
        <v>0</v>
      </c>
      <c r="AG341" s="148">
        <v>1</v>
      </c>
      <c r="AH341" s="148">
        <v>0</v>
      </c>
      <c r="AI341" s="148">
        <v>0</v>
      </c>
      <c r="AJ341" s="148">
        <v>1</v>
      </c>
      <c r="AK341" s="148">
        <v>0</v>
      </c>
      <c r="AL341" s="148">
        <v>0</v>
      </c>
      <c r="AM341" s="148">
        <v>1</v>
      </c>
      <c r="AN341" s="148"/>
    </row>
    <row r="342" spans="1:40" ht="10.199999999999999" x14ac:dyDescent="0.2">
      <c r="A342" s="147" t="s">
        <v>745</v>
      </c>
      <c r="B342" s="148">
        <v>0</v>
      </c>
      <c r="C342" s="148">
        <v>0</v>
      </c>
      <c r="D342" s="148">
        <v>20758.593814624001</v>
      </c>
      <c r="E342" s="148">
        <v>0</v>
      </c>
      <c r="F342" s="148">
        <v>0</v>
      </c>
      <c r="G342" s="148">
        <v>32964.507813928103</v>
      </c>
      <c r="H342" s="148">
        <v>0</v>
      </c>
      <c r="I342" s="148">
        <v>0</v>
      </c>
      <c r="J342" s="148">
        <v>49520.2010553609</v>
      </c>
      <c r="K342" s="148">
        <v>0</v>
      </c>
      <c r="L342" s="148">
        <v>0</v>
      </c>
      <c r="M342" s="148">
        <v>59976.243351746198</v>
      </c>
      <c r="N342" s="148"/>
      <c r="O342" s="148">
        <v>0</v>
      </c>
      <c r="P342" s="148">
        <v>0</v>
      </c>
      <c r="Q342" s="148">
        <v>16943.7101070063</v>
      </c>
      <c r="R342" s="148">
        <v>0</v>
      </c>
      <c r="S342" s="148">
        <v>0</v>
      </c>
      <c r="T342" s="148">
        <v>25289.731568706498</v>
      </c>
      <c r="U342" s="148">
        <v>0</v>
      </c>
      <c r="V342" s="148">
        <v>0</v>
      </c>
      <c r="W342" s="148">
        <v>38959.786473652202</v>
      </c>
      <c r="X342" s="148">
        <v>0</v>
      </c>
      <c r="Y342" s="148">
        <v>0</v>
      </c>
      <c r="Z342" s="148">
        <v>49640.355702221103</v>
      </c>
      <c r="AA342" s="148"/>
      <c r="AB342" s="148">
        <v>0</v>
      </c>
      <c r="AC342" s="148">
        <v>0</v>
      </c>
      <c r="AD342" s="148">
        <v>18746.091687358301</v>
      </c>
      <c r="AE342" s="148">
        <v>0</v>
      </c>
      <c r="AF342" s="148">
        <v>0</v>
      </c>
      <c r="AG342" s="148">
        <v>26601.532296366498</v>
      </c>
      <c r="AH342" s="148">
        <v>0</v>
      </c>
      <c r="AI342" s="148">
        <v>0</v>
      </c>
      <c r="AJ342" s="148">
        <v>41268.9833018871</v>
      </c>
      <c r="AK342" s="148">
        <v>0</v>
      </c>
      <c r="AL342" s="148">
        <v>0</v>
      </c>
      <c r="AM342" s="148">
        <v>50345.862574762199</v>
      </c>
      <c r="AN342" s="148"/>
    </row>
    <row r="343" spans="1:40" ht="10.199999999999999" x14ac:dyDescent="0.2">
      <c r="A343" s="154" t="s">
        <v>746</v>
      </c>
      <c r="B343" s="148">
        <v>0</v>
      </c>
      <c r="C343" s="148">
        <v>0</v>
      </c>
      <c r="D343" s="148">
        <v>92443.537750000003</v>
      </c>
      <c r="E343" s="148">
        <v>0</v>
      </c>
      <c r="F343" s="148">
        <v>0</v>
      </c>
      <c r="G343" s="148">
        <v>153935.03831</v>
      </c>
      <c r="H343" s="148">
        <v>0</v>
      </c>
      <c r="I343" s="148">
        <v>0</v>
      </c>
      <c r="J343" s="148">
        <v>230867.44143500601</v>
      </c>
      <c r="K343" s="148">
        <v>0</v>
      </c>
      <c r="L343" s="148">
        <v>0</v>
      </c>
      <c r="M343" s="148">
        <v>283545.60290984099</v>
      </c>
      <c r="N343" s="153"/>
      <c r="O343" s="148">
        <v>0</v>
      </c>
      <c r="P343" s="148">
        <v>0</v>
      </c>
      <c r="Q343" s="148">
        <v>81345.781906201504</v>
      </c>
      <c r="R343" s="148">
        <v>0</v>
      </c>
      <c r="S343" s="148">
        <v>0</v>
      </c>
      <c r="T343" s="148">
        <v>127938.183314182</v>
      </c>
      <c r="U343" s="148">
        <v>0</v>
      </c>
      <c r="V343" s="148">
        <v>0</v>
      </c>
      <c r="W343" s="148">
        <v>195897.248456609</v>
      </c>
      <c r="X343" s="148">
        <v>0</v>
      </c>
      <c r="Y343" s="148">
        <v>0</v>
      </c>
      <c r="Z343" s="148">
        <v>251981.80509852301</v>
      </c>
      <c r="AA343" s="153"/>
      <c r="AB343" s="148">
        <v>0</v>
      </c>
      <c r="AC343" s="148">
        <v>0</v>
      </c>
      <c r="AD343" s="148">
        <v>88898.253167235904</v>
      </c>
      <c r="AE343" s="148">
        <v>0</v>
      </c>
      <c r="AF343" s="148">
        <v>0</v>
      </c>
      <c r="AG343" s="148">
        <v>134180.33821281401</v>
      </c>
      <c r="AH343" s="148">
        <v>0</v>
      </c>
      <c r="AI343" s="148">
        <v>0</v>
      </c>
      <c r="AJ343" s="148">
        <v>206754.15313817299</v>
      </c>
      <c r="AK343" s="148">
        <v>0</v>
      </c>
      <c r="AL343" s="148">
        <v>0</v>
      </c>
      <c r="AM343" s="148">
        <v>256907.884930667</v>
      </c>
      <c r="AN343" s="153"/>
    </row>
    <row r="344" spans="1:40" ht="10.199999999999999" x14ac:dyDescent="0.2">
      <c r="A344" s="154" t="s">
        <v>747</v>
      </c>
      <c r="B344" s="153">
        <v>0</v>
      </c>
      <c r="C344" s="153">
        <v>0</v>
      </c>
      <c r="D344" s="153">
        <v>0.22455429897936799</v>
      </c>
      <c r="E344" s="153">
        <v>0</v>
      </c>
      <c r="F344" s="153">
        <v>0</v>
      </c>
      <c r="G344" s="153">
        <v>0.214145578393549</v>
      </c>
      <c r="H344" s="153">
        <v>0</v>
      </c>
      <c r="I344" s="153">
        <v>0</v>
      </c>
      <c r="J344" s="153">
        <v>0.214496252687505</v>
      </c>
      <c r="K344" s="153">
        <v>0</v>
      </c>
      <c r="L344" s="153">
        <v>0</v>
      </c>
      <c r="M344" s="153">
        <v>0.21152238911924401</v>
      </c>
      <c r="N344" s="153"/>
      <c r="O344" s="153">
        <v>0</v>
      </c>
      <c r="P344" s="153">
        <v>0</v>
      </c>
      <c r="Q344" s="153">
        <v>0.208292424142456</v>
      </c>
      <c r="R344" s="153">
        <v>0</v>
      </c>
      <c r="S344" s="153">
        <v>0</v>
      </c>
      <c r="T344" s="153">
        <v>0.19767149191576</v>
      </c>
      <c r="U344" s="153">
        <v>0</v>
      </c>
      <c r="V344" s="153">
        <v>0</v>
      </c>
      <c r="W344" s="153">
        <v>0.19887868145469001</v>
      </c>
      <c r="X344" s="153">
        <v>0</v>
      </c>
      <c r="Y344" s="153">
        <v>0</v>
      </c>
      <c r="Z344" s="153">
        <v>0.19699976227574001</v>
      </c>
      <c r="AA344" s="153"/>
      <c r="AB344" s="153">
        <v>0</v>
      </c>
      <c r="AC344" s="153">
        <v>0</v>
      </c>
      <c r="AD344" s="153">
        <v>0.210871316583612</v>
      </c>
      <c r="AE344" s="153">
        <v>0</v>
      </c>
      <c r="AF344" s="153">
        <v>0</v>
      </c>
      <c r="AG344" s="153">
        <v>0.19825208857482199</v>
      </c>
      <c r="AH344" s="153">
        <v>0</v>
      </c>
      <c r="AI344" s="153">
        <v>0</v>
      </c>
      <c r="AJ344" s="153">
        <v>0.19960413213226699</v>
      </c>
      <c r="AK344" s="153">
        <v>0</v>
      </c>
      <c r="AL344" s="153">
        <v>0</v>
      </c>
      <c r="AM344" s="153">
        <v>0.19596853786075599</v>
      </c>
      <c r="AN344" s="153"/>
    </row>
    <row r="345" spans="1:40" ht="10.199999999999999" x14ac:dyDescent="0.2">
      <c r="A345" s="147" t="s">
        <v>748</v>
      </c>
      <c r="B345" s="153">
        <v>0</v>
      </c>
      <c r="C345" s="153">
        <v>0</v>
      </c>
      <c r="D345" s="153">
        <v>0.21152238911924401</v>
      </c>
      <c r="E345" s="153">
        <v>0</v>
      </c>
      <c r="F345" s="153">
        <v>0</v>
      </c>
      <c r="G345" s="153">
        <v>0.21152238911924401</v>
      </c>
      <c r="H345" s="153">
        <v>0</v>
      </c>
      <c r="I345" s="153">
        <v>0</v>
      </c>
      <c r="J345" s="153">
        <v>0.21152238911924301</v>
      </c>
      <c r="K345" s="153">
        <v>0</v>
      </c>
      <c r="L345" s="153">
        <v>0</v>
      </c>
      <c r="M345" s="153">
        <v>0.21152238911924401</v>
      </c>
      <c r="N345" s="148"/>
      <c r="O345" s="153">
        <v>0</v>
      </c>
      <c r="P345" s="153">
        <v>0</v>
      </c>
      <c r="Q345" s="153">
        <v>0.19699976227504801</v>
      </c>
      <c r="R345" s="153">
        <v>0</v>
      </c>
      <c r="S345" s="153">
        <v>0</v>
      </c>
      <c r="T345" s="153">
        <v>0.19699976227514299</v>
      </c>
      <c r="U345" s="153">
        <v>0</v>
      </c>
      <c r="V345" s="153">
        <v>0</v>
      </c>
      <c r="W345" s="153">
        <v>0.19699976227538299</v>
      </c>
      <c r="X345" s="153">
        <v>0</v>
      </c>
      <c r="Y345" s="153">
        <v>0</v>
      </c>
      <c r="Z345" s="153">
        <v>0.19699976227574001</v>
      </c>
      <c r="AA345" s="148"/>
      <c r="AB345" s="153">
        <v>0</v>
      </c>
      <c r="AC345" s="153">
        <v>0</v>
      </c>
      <c r="AD345" s="153">
        <v>0.19596853785807</v>
      </c>
      <c r="AE345" s="153">
        <v>0</v>
      </c>
      <c r="AF345" s="153">
        <v>0</v>
      </c>
      <c r="AG345" s="153">
        <v>0.1959685378587</v>
      </c>
      <c r="AH345" s="153">
        <v>0</v>
      </c>
      <c r="AI345" s="153">
        <v>0</v>
      </c>
      <c r="AJ345" s="153">
        <v>0.19596853785968599</v>
      </c>
      <c r="AK345" s="153">
        <v>0</v>
      </c>
      <c r="AL345" s="153">
        <v>0</v>
      </c>
      <c r="AM345" s="153">
        <v>0.19596853786075599</v>
      </c>
      <c r="AN345" s="148"/>
    </row>
    <row r="346" spans="1:40" ht="10.199999999999999" x14ac:dyDescent="0.2">
      <c r="A346" s="147" t="s">
        <v>749</v>
      </c>
      <c r="B346" s="148">
        <v>0</v>
      </c>
      <c r="C346" s="148">
        <v>0</v>
      </c>
      <c r="D346" s="148">
        <v>19553.8779635151</v>
      </c>
      <c r="E346" s="148">
        <v>0</v>
      </c>
      <c r="F346" s="148">
        <v>0</v>
      </c>
      <c r="G346" s="148">
        <v>32560.7070724935</v>
      </c>
      <c r="H346" s="148">
        <v>0</v>
      </c>
      <c r="I346" s="148">
        <v>0</v>
      </c>
      <c r="J346" s="148">
        <v>48833.6327821796</v>
      </c>
      <c r="K346" s="148">
        <v>0</v>
      </c>
      <c r="L346" s="148">
        <v>0</v>
      </c>
      <c r="M346" s="148">
        <v>59976.243351746198</v>
      </c>
      <c r="N346" s="148"/>
      <c r="O346" s="148">
        <v>0</v>
      </c>
      <c r="P346" s="148">
        <v>0</v>
      </c>
      <c r="Q346" s="148">
        <v>16025.0996975996</v>
      </c>
      <c r="R346" s="148">
        <v>0</v>
      </c>
      <c r="S346" s="148">
        <v>0</v>
      </c>
      <c r="T346" s="148">
        <v>25203.791698807701</v>
      </c>
      <c r="U346" s="148">
        <v>0</v>
      </c>
      <c r="V346" s="148">
        <v>0</v>
      </c>
      <c r="W346" s="148">
        <v>38591.711376353604</v>
      </c>
      <c r="X346" s="148">
        <v>0</v>
      </c>
      <c r="Y346" s="148">
        <v>0</v>
      </c>
      <c r="Z346" s="148">
        <v>49640.355702221103</v>
      </c>
      <c r="AA346" s="148"/>
      <c r="AB346" s="148">
        <v>0</v>
      </c>
      <c r="AC346" s="148">
        <v>0</v>
      </c>
      <c r="AD346" s="148">
        <v>17421.2606913198</v>
      </c>
      <c r="AE346" s="148">
        <v>0</v>
      </c>
      <c r="AF346" s="148">
        <v>0</v>
      </c>
      <c r="AG346" s="148">
        <v>26295.124688951</v>
      </c>
      <c r="AH346" s="148">
        <v>0</v>
      </c>
      <c r="AI346" s="148">
        <v>0</v>
      </c>
      <c r="AJ346" s="148">
        <v>40517.309086905603</v>
      </c>
      <c r="AK346" s="148">
        <v>0</v>
      </c>
      <c r="AL346" s="148">
        <v>0</v>
      </c>
      <c r="AM346" s="148">
        <v>50345.862574762199</v>
      </c>
      <c r="AN346" s="148"/>
    </row>
    <row r="347" spans="1:40" ht="10.199999999999999" x14ac:dyDescent="0.2">
      <c r="A347" s="147" t="s">
        <v>750</v>
      </c>
      <c r="B347" s="148">
        <v>0</v>
      </c>
      <c r="C347" s="148">
        <v>0</v>
      </c>
      <c r="D347" s="148">
        <v>-1204.7158511089399</v>
      </c>
      <c r="E347" s="148">
        <v>0</v>
      </c>
      <c r="F347" s="148">
        <v>0</v>
      </c>
      <c r="G347" s="148">
        <v>-403.80074143452998</v>
      </c>
      <c r="H347" s="148">
        <v>0</v>
      </c>
      <c r="I347" s="148">
        <v>0</v>
      </c>
      <c r="J347" s="148">
        <v>-686.56827318132105</v>
      </c>
      <c r="K347" s="148">
        <v>0</v>
      </c>
      <c r="L347" s="148">
        <v>0</v>
      </c>
      <c r="M347" s="148">
        <v>0</v>
      </c>
      <c r="N347" s="148"/>
      <c r="O347" s="148">
        <v>0</v>
      </c>
      <c r="P347" s="148">
        <v>0</v>
      </c>
      <c r="Q347" s="148">
        <v>-918.61040940669</v>
      </c>
      <c r="R347" s="148">
        <v>0</v>
      </c>
      <c r="S347" s="148">
        <v>0</v>
      </c>
      <c r="T347" s="148">
        <v>-85.939869898873397</v>
      </c>
      <c r="U347" s="148">
        <v>0</v>
      </c>
      <c r="V347" s="148">
        <v>0</v>
      </c>
      <c r="W347" s="148">
        <v>-368.07509729864898</v>
      </c>
      <c r="X347" s="148">
        <v>0</v>
      </c>
      <c r="Y347" s="148">
        <v>0</v>
      </c>
      <c r="Z347" s="148">
        <v>0</v>
      </c>
      <c r="AA347" s="148"/>
      <c r="AB347" s="148">
        <v>0</v>
      </c>
      <c r="AC347" s="148">
        <v>0</v>
      </c>
      <c r="AD347" s="148">
        <v>-1324.83099603857</v>
      </c>
      <c r="AE347" s="148">
        <v>0</v>
      </c>
      <c r="AF347" s="148">
        <v>0</v>
      </c>
      <c r="AG347" s="148">
        <v>-306.407607415472</v>
      </c>
      <c r="AH347" s="148">
        <v>0</v>
      </c>
      <c r="AI347" s="148">
        <v>0</v>
      </c>
      <c r="AJ347" s="148">
        <v>-751.67421498154704</v>
      </c>
      <c r="AK347" s="148">
        <v>0</v>
      </c>
      <c r="AL347" s="148">
        <v>0</v>
      </c>
      <c r="AM347" s="148">
        <v>1.45519152283668E-11</v>
      </c>
      <c r="AN347" s="148"/>
    </row>
    <row r="348" spans="1:40" ht="10.199999999999999" x14ac:dyDescent="0.2">
      <c r="A348" s="147" t="s">
        <v>751</v>
      </c>
      <c r="B348" s="148">
        <v>0</v>
      </c>
      <c r="C348" s="148">
        <v>0</v>
      </c>
      <c r="D348" s="148">
        <v>1</v>
      </c>
      <c r="E348" s="148">
        <v>0</v>
      </c>
      <c r="F348" s="148">
        <v>0</v>
      </c>
      <c r="G348" s="148">
        <v>0</v>
      </c>
      <c r="H348" s="148">
        <v>0</v>
      </c>
      <c r="I348" s="148">
        <v>0</v>
      </c>
      <c r="J348" s="148">
        <v>0</v>
      </c>
      <c r="K348" s="148">
        <v>0</v>
      </c>
      <c r="L348" s="148">
        <v>0</v>
      </c>
      <c r="M348" s="148">
        <v>0</v>
      </c>
      <c r="N348" s="148"/>
      <c r="O348" s="148">
        <v>0</v>
      </c>
      <c r="P348" s="148">
        <v>0</v>
      </c>
      <c r="Q348" s="148">
        <v>1</v>
      </c>
      <c r="R348" s="148">
        <v>0</v>
      </c>
      <c r="S348" s="148">
        <v>0</v>
      </c>
      <c r="T348" s="148">
        <v>0</v>
      </c>
      <c r="U348" s="148">
        <v>0</v>
      </c>
      <c r="V348" s="148">
        <v>0</v>
      </c>
      <c r="W348" s="148">
        <v>0</v>
      </c>
      <c r="X348" s="148">
        <v>0</v>
      </c>
      <c r="Y348" s="148">
        <v>0</v>
      </c>
      <c r="Z348" s="148">
        <v>0</v>
      </c>
      <c r="AA348" s="148"/>
      <c r="AB348" s="148">
        <v>0</v>
      </c>
      <c r="AC348" s="148">
        <v>0</v>
      </c>
      <c r="AD348" s="148">
        <v>1</v>
      </c>
      <c r="AE348" s="148">
        <v>0</v>
      </c>
      <c r="AF348" s="148">
        <v>0</v>
      </c>
      <c r="AG348" s="148">
        <v>0</v>
      </c>
      <c r="AH348" s="148">
        <v>0</v>
      </c>
      <c r="AI348" s="148">
        <v>0</v>
      </c>
      <c r="AJ348" s="148">
        <v>0</v>
      </c>
      <c r="AK348" s="148">
        <v>0</v>
      </c>
      <c r="AL348" s="148">
        <v>0</v>
      </c>
      <c r="AM348" s="148">
        <v>0</v>
      </c>
      <c r="AN348" s="148"/>
    </row>
    <row r="349" spans="1:40" ht="10.199999999999999" x14ac:dyDescent="0.2">
      <c r="A349" s="147" t="s">
        <v>752</v>
      </c>
      <c r="B349" s="148">
        <v>0</v>
      </c>
      <c r="C349" s="148">
        <v>0</v>
      </c>
      <c r="D349" s="148">
        <v>-1204.7158511089399</v>
      </c>
      <c r="E349" s="148">
        <v>0</v>
      </c>
      <c r="F349" s="148">
        <v>0</v>
      </c>
      <c r="G349" s="148">
        <v>0</v>
      </c>
      <c r="H349" s="148">
        <v>0</v>
      </c>
      <c r="I349" s="148">
        <v>0</v>
      </c>
      <c r="J349" s="148">
        <v>0</v>
      </c>
      <c r="K349" s="148">
        <v>0</v>
      </c>
      <c r="L349" s="148">
        <v>0</v>
      </c>
      <c r="M349" s="148">
        <v>0</v>
      </c>
      <c r="N349" s="148"/>
      <c r="O349" s="148">
        <v>0</v>
      </c>
      <c r="P349" s="148">
        <v>0</v>
      </c>
      <c r="Q349" s="148">
        <v>-918.61040940669</v>
      </c>
      <c r="R349" s="148">
        <v>0</v>
      </c>
      <c r="S349" s="148">
        <v>0</v>
      </c>
      <c r="T349" s="148">
        <v>0</v>
      </c>
      <c r="U349" s="148">
        <v>0</v>
      </c>
      <c r="V349" s="148">
        <v>0</v>
      </c>
      <c r="W349" s="148">
        <v>0</v>
      </c>
      <c r="X349" s="148">
        <v>0</v>
      </c>
      <c r="Y349" s="148">
        <v>0</v>
      </c>
      <c r="Z349" s="148">
        <v>0</v>
      </c>
      <c r="AA349" s="148"/>
      <c r="AB349" s="148">
        <v>0</v>
      </c>
      <c r="AC349" s="148">
        <v>0</v>
      </c>
      <c r="AD349" s="148">
        <v>-1324.83099603857</v>
      </c>
      <c r="AE349" s="148">
        <v>0</v>
      </c>
      <c r="AF349" s="148">
        <v>0</v>
      </c>
      <c r="AG349" s="148">
        <v>0</v>
      </c>
      <c r="AH349" s="148">
        <v>0</v>
      </c>
      <c r="AI349" s="148">
        <v>0</v>
      </c>
      <c r="AJ349" s="148">
        <v>0</v>
      </c>
      <c r="AK349" s="148">
        <v>0</v>
      </c>
      <c r="AL349" s="148">
        <v>0</v>
      </c>
      <c r="AM349" s="148">
        <v>0</v>
      </c>
      <c r="AN349" s="148"/>
    </row>
    <row r="350" spans="1:40" ht="10.199999999999999" x14ac:dyDescent="0.2">
      <c r="A350" s="147" t="s">
        <v>753</v>
      </c>
      <c r="B350" s="148">
        <v>0</v>
      </c>
      <c r="C350" s="148">
        <v>0</v>
      </c>
      <c r="D350" s="148">
        <v>0</v>
      </c>
      <c r="E350" s="148">
        <v>0</v>
      </c>
      <c r="F350" s="148">
        <v>0</v>
      </c>
      <c r="G350" s="148">
        <v>0</v>
      </c>
      <c r="H350" s="148">
        <v>0</v>
      </c>
      <c r="I350" s="148">
        <v>0</v>
      </c>
      <c r="J350" s="148">
        <v>0</v>
      </c>
      <c r="K350" s="148">
        <v>0</v>
      </c>
      <c r="L350" s="148">
        <v>0</v>
      </c>
      <c r="M350" s="148">
        <v>0</v>
      </c>
      <c r="N350" s="148"/>
      <c r="O350" s="148">
        <v>0</v>
      </c>
      <c r="P350" s="148">
        <v>0</v>
      </c>
      <c r="Q350" s="148">
        <v>0</v>
      </c>
      <c r="R350" s="148">
        <v>0</v>
      </c>
      <c r="S350" s="148">
        <v>0</v>
      </c>
      <c r="T350" s="148">
        <v>0</v>
      </c>
      <c r="U350" s="148">
        <v>0</v>
      </c>
      <c r="V350" s="148">
        <v>0</v>
      </c>
      <c r="W350" s="148">
        <v>0</v>
      </c>
      <c r="X350" s="148">
        <v>0</v>
      </c>
      <c r="Y350" s="148">
        <v>0</v>
      </c>
      <c r="Z350" s="148">
        <v>0</v>
      </c>
      <c r="AA350" s="148"/>
      <c r="AB350" s="148">
        <v>0</v>
      </c>
      <c r="AC350" s="148">
        <v>0</v>
      </c>
      <c r="AD350" s="148">
        <v>0</v>
      </c>
      <c r="AE350" s="148">
        <v>0</v>
      </c>
      <c r="AF350" s="148">
        <v>0</v>
      </c>
      <c r="AG350" s="148">
        <v>0</v>
      </c>
      <c r="AH350" s="148">
        <v>0</v>
      </c>
      <c r="AI350" s="148">
        <v>0</v>
      </c>
      <c r="AJ350" s="148">
        <v>0</v>
      </c>
      <c r="AK350" s="148">
        <v>0</v>
      </c>
      <c r="AL350" s="148">
        <v>0</v>
      </c>
      <c r="AM350" s="148">
        <v>0</v>
      </c>
      <c r="AN350" s="148"/>
    </row>
    <row r="351" spans="1:40" ht="10.199999999999999" x14ac:dyDescent="0.2">
      <c r="A351" s="147" t="s">
        <v>754</v>
      </c>
      <c r="B351" s="148">
        <v>0</v>
      </c>
      <c r="C351" s="148">
        <v>0</v>
      </c>
      <c r="D351" s="148">
        <v>0</v>
      </c>
      <c r="E351" s="148">
        <v>0</v>
      </c>
      <c r="F351" s="148">
        <v>0</v>
      </c>
      <c r="G351" s="148">
        <v>1</v>
      </c>
      <c r="H351" s="148">
        <v>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/>
      <c r="O351" s="148">
        <v>0</v>
      </c>
      <c r="P351" s="148">
        <v>0</v>
      </c>
      <c r="Q351" s="148">
        <v>0</v>
      </c>
      <c r="R351" s="148">
        <v>0</v>
      </c>
      <c r="S351" s="148">
        <v>0</v>
      </c>
      <c r="T351" s="148">
        <v>1</v>
      </c>
      <c r="U351" s="148">
        <v>0</v>
      </c>
      <c r="V351" s="148">
        <v>0</v>
      </c>
      <c r="W351" s="148">
        <v>0</v>
      </c>
      <c r="X351" s="148">
        <v>0</v>
      </c>
      <c r="Y351" s="148">
        <v>0</v>
      </c>
      <c r="Z351" s="148">
        <v>0</v>
      </c>
      <c r="AA351" s="148"/>
      <c r="AB351" s="148">
        <v>0</v>
      </c>
      <c r="AC351" s="148">
        <v>0</v>
      </c>
      <c r="AD351" s="148">
        <v>0</v>
      </c>
      <c r="AE351" s="148">
        <v>0</v>
      </c>
      <c r="AF351" s="148">
        <v>0</v>
      </c>
      <c r="AG351" s="148">
        <v>1</v>
      </c>
      <c r="AH351" s="148">
        <v>0</v>
      </c>
      <c r="AI351" s="148">
        <v>0</v>
      </c>
      <c r="AJ351" s="148">
        <v>0</v>
      </c>
      <c r="AK351" s="148">
        <v>0</v>
      </c>
      <c r="AL351" s="148">
        <v>0</v>
      </c>
      <c r="AM351" s="148">
        <v>0</v>
      </c>
      <c r="AN351" s="148"/>
    </row>
    <row r="352" spans="1:40" ht="10.199999999999999" x14ac:dyDescent="0.2">
      <c r="A352" s="147" t="s">
        <v>755</v>
      </c>
      <c r="B352" s="148">
        <v>0</v>
      </c>
      <c r="C352" s="148">
        <v>0</v>
      </c>
      <c r="D352" s="148">
        <v>0</v>
      </c>
      <c r="E352" s="148">
        <v>0</v>
      </c>
      <c r="F352" s="148">
        <v>0</v>
      </c>
      <c r="G352" s="148">
        <v>-1204.7158511089399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/>
      <c r="O352" s="148">
        <v>0</v>
      </c>
      <c r="P352" s="148">
        <v>0</v>
      </c>
      <c r="Q352" s="148">
        <v>0</v>
      </c>
      <c r="R352" s="148">
        <v>0</v>
      </c>
      <c r="S352" s="148">
        <v>0</v>
      </c>
      <c r="T352" s="148">
        <v>-918.61040940669</v>
      </c>
      <c r="U352" s="148">
        <v>0</v>
      </c>
      <c r="V352" s="148">
        <v>0</v>
      </c>
      <c r="W352" s="148">
        <v>0</v>
      </c>
      <c r="X352" s="148">
        <v>0</v>
      </c>
      <c r="Y352" s="148">
        <v>0</v>
      </c>
      <c r="Z352" s="148">
        <v>0</v>
      </c>
      <c r="AA352" s="148"/>
      <c r="AB352" s="148">
        <v>0</v>
      </c>
      <c r="AC352" s="148">
        <v>0</v>
      </c>
      <c r="AD352" s="148">
        <v>0</v>
      </c>
      <c r="AE352" s="148">
        <v>0</v>
      </c>
      <c r="AF352" s="148">
        <v>0</v>
      </c>
      <c r="AG352" s="148">
        <v>-1324.83099603857</v>
      </c>
      <c r="AH352" s="148">
        <v>0</v>
      </c>
      <c r="AI352" s="148">
        <v>0</v>
      </c>
      <c r="AJ352" s="148">
        <v>0</v>
      </c>
      <c r="AK352" s="148">
        <v>0</v>
      </c>
      <c r="AL352" s="148">
        <v>0</v>
      </c>
      <c r="AM352" s="148">
        <v>0</v>
      </c>
      <c r="AN352" s="148"/>
    </row>
    <row r="353" spans="1:40" ht="10.199999999999999" x14ac:dyDescent="0.2">
      <c r="A353" s="147" t="s">
        <v>756</v>
      </c>
      <c r="B353" s="148">
        <v>0</v>
      </c>
      <c r="C353" s="148">
        <v>0</v>
      </c>
      <c r="D353" s="148">
        <v>0</v>
      </c>
      <c r="E353" s="148">
        <v>0</v>
      </c>
      <c r="F353" s="148">
        <v>0</v>
      </c>
      <c r="G353" s="148">
        <v>800.91510967441695</v>
      </c>
      <c r="H353" s="148">
        <v>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/>
      <c r="O353" s="148">
        <v>0</v>
      </c>
      <c r="P353" s="148">
        <v>0</v>
      </c>
      <c r="Q353" s="148">
        <v>0</v>
      </c>
      <c r="R353" s="148">
        <v>0</v>
      </c>
      <c r="S353" s="148">
        <v>0</v>
      </c>
      <c r="T353" s="148">
        <v>832.67053950781701</v>
      </c>
      <c r="U353" s="148">
        <v>0</v>
      </c>
      <c r="V353" s="148">
        <v>0</v>
      </c>
      <c r="W353" s="148">
        <v>0</v>
      </c>
      <c r="X353" s="148">
        <v>0</v>
      </c>
      <c r="Y353" s="148">
        <v>0</v>
      </c>
      <c r="Z353" s="148">
        <v>0</v>
      </c>
      <c r="AA353" s="148"/>
      <c r="AB353" s="148">
        <v>0</v>
      </c>
      <c r="AC353" s="148">
        <v>0</v>
      </c>
      <c r="AD353" s="148">
        <v>0</v>
      </c>
      <c r="AE353" s="148">
        <v>0</v>
      </c>
      <c r="AF353" s="148">
        <v>0</v>
      </c>
      <c r="AG353" s="148">
        <v>1018.42338862309</v>
      </c>
      <c r="AH353" s="148">
        <v>0</v>
      </c>
      <c r="AI353" s="148">
        <v>0</v>
      </c>
      <c r="AJ353" s="148">
        <v>0</v>
      </c>
      <c r="AK353" s="148">
        <v>0</v>
      </c>
      <c r="AL353" s="148">
        <v>0</v>
      </c>
      <c r="AM353" s="148">
        <v>0</v>
      </c>
      <c r="AN353" s="148"/>
    </row>
    <row r="354" spans="1:40" ht="10.199999999999999" x14ac:dyDescent="0.2">
      <c r="A354" s="147" t="s">
        <v>757</v>
      </c>
      <c r="B354" s="148">
        <v>0</v>
      </c>
      <c r="C354" s="148">
        <v>0</v>
      </c>
      <c r="D354" s="148">
        <v>0</v>
      </c>
      <c r="E354" s="148">
        <v>0</v>
      </c>
      <c r="F354" s="148">
        <v>0</v>
      </c>
      <c r="G354" s="148">
        <v>0</v>
      </c>
      <c r="H354" s="148">
        <v>0</v>
      </c>
      <c r="I354" s="148">
        <v>0</v>
      </c>
      <c r="J354" s="148">
        <v>0</v>
      </c>
      <c r="K354" s="148">
        <v>0</v>
      </c>
      <c r="L354" s="148">
        <v>0</v>
      </c>
      <c r="M354" s="148">
        <v>0</v>
      </c>
      <c r="N354" s="148"/>
      <c r="O354" s="148">
        <v>0</v>
      </c>
      <c r="P354" s="148">
        <v>0</v>
      </c>
      <c r="Q354" s="148">
        <v>0</v>
      </c>
      <c r="R354" s="148">
        <v>0</v>
      </c>
      <c r="S354" s="148">
        <v>0</v>
      </c>
      <c r="T354" s="148">
        <v>0</v>
      </c>
      <c r="U354" s="148">
        <v>0</v>
      </c>
      <c r="V354" s="148">
        <v>0</v>
      </c>
      <c r="W354" s="148">
        <v>0</v>
      </c>
      <c r="X354" s="148">
        <v>0</v>
      </c>
      <c r="Y354" s="148">
        <v>0</v>
      </c>
      <c r="Z354" s="148">
        <v>0</v>
      </c>
      <c r="AA354" s="148"/>
      <c r="AB354" s="148">
        <v>0</v>
      </c>
      <c r="AC354" s="148">
        <v>0</v>
      </c>
      <c r="AD354" s="148">
        <v>0</v>
      </c>
      <c r="AE354" s="148">
        <v>0</v>
      </c>
      <c r="AF354" s="148">
        <v>0</v>
      </c>
      <c r="AG354" s="148">
        <v>0</v>
      </c>
      <c r="AH354" s="148">
        <v>0</v>
      </c>
      <c r="AI354" s="148">
        <v>0</v>
      </c>
      <c r="AJ354" s="148">
        <v>0</v>
      </c>
      <c r="AK354" s="148">
        <v>0</v>
      </c>
      <c r="AL354" s="148">
        <v>0</v>
      </c>
      <c r="AM354" s="148">
        <v>0</v>
      </c>
      <c r="AN354" s="148"/>
    </row>
    <row r="355" spans="1:40" ht="10.199999999999999" x14ac:dyDescent="0.2">
      <c r="A355" s="147" t="s">
        <v>758</v>
      </c>
      <c r="B355" s="148">
        <v>0</v>
      </c>
      <c r="C355" s="148">
        <v>0</v>
      </c>
      <c r="D355" s="148">
        <v>0</v>
      </c>
      <c r="E355" s="148">
        <v>0</v>
      </c>
      <c r="F355" s="148">
        <v>0</v>
      </c>
      <c r="G355" s="148">
        <v>0</v>
      </c>
      <c r="H355" s="148">
        <v>0</v>
      </c>
      <c r="I355" s="148">
        <v>0</v>
      </c>
      <c r="J355" s="148">
        <v>1</v>
      </c>
      <c r="K355" s="148">
        <v>0</v>
      </c>
      <c r="L355" s="148">
        <v>0</v>
      </c>
      <c r="M355" s="148">
        <v>0</v>
      </c>
      <c r="N355" s="148"/>
      <c r="O355" s="148">
        <v>0</v>
      </c>
      <c r="P355" s="148">
        <v>0</v>
      </c>
      <c r="Q355" s="148">
        <v>0</v>
      </c>
      <c r="R355" s="148">
        <v>0</v>
      </c>
      <c r="S355" s="148">
        <v>0</v>
      </c>
      <c r="T355" s="148">
        <v>0</v>
      </c>
      <c r="U355" s="148">
        <v>0</v>
      </c>
      <c r="V355" s="148">
        <v>0</v>
      </c>
      <c r="W355" s="148">
        <v>1</v>
      </c>
      <c r="X355" s="148">
        <v>0</v>
      </c>
      <c r="Y355" s="148">
        <v>0</v>
      </c>
      <c r="Z355" s="148">
        <v>0</v>
      </c>
      <c r="AA355" s="148"/>
      <c r="AB355" s="148">
        <v>0</v>
      </c>
      <c r="AC355" s="148">
        <v>0</v>
      </c>
      <c r="AD355" s="148">
        <v>0</v>
      </c>
      <c r="AE355" s="148">
        <v>0</v>
      </c>
      <c r="AF355" s="148">
        <v>0</v>
      </c>
      <c r="AG355" s="148">
        <v>0</v>
      </c>
      <c r="AH355" s="148">
        <v>0</v>
      </c>
      <c r="AI355" s="148">
        <v>0</v>
      </c>
      <c r="AJ355" s="148">
        <v>1</v>
      </c>
      <c r="AK355" s="148">
        <v>0</v>
      </c>
      <c r="AL355" s="148">
        <v>0</v>
      </c>
      <c r="AM355" s="148">
        <v>0</v>
      </c>
      <c r="AN355" s="148"/>
    </row>
    <row r="356" spans="1:40" ht="10.199999999999999" x14ac:dyDescent="0.2">
      <c r="A356" s="147" t="s">
        <v>759</v>
      </c>
      <c r="B356" s="148">
        <v>0</v>
      </c>
      <c r="C356" s="148">
        <v>0</v>
      </c>
      <c r="D356" s="148">
        <v>0</v>
      </c>
      <c r="E356" s="148">
        <v>0</v>
      </c>
      <c r="F356" s="148">
        <v>0</v>
      </c>
      <c r="G356" s="148">
        <v>0</v>
      </c>
      <c r="H356" s="148">
        <v>0</v>
      </c>
      <c r="I356" s="148">
        <v>0</v>
      </c>
      <c r="J356" s="148">
        <v>-403.80074143452998</v>
      </c>
      <c r="K356" s="148">
        <v>0</v>
      </c>
      <c r="L356" s="148">
        <v>0</v>
      </c>
      <c r="M356" s="148">
        <v>0</v>
      </c>
      <c r="N356" s="148"/>
      <c r="O356" s="148">
        <v>0</v>
      </c>
      <c r="P356" s="148">
        <v>0</v>
      </c>
      <c r="Q356" s="148">
        <v>0</v>
      </c>
      <c r="R356" s="148">
        <v>0</v>
      </c>
      <c r="S356" s="148">
        <v>0</v>
      </c>
      <c r="T356" s="148">
        <v>0</v>
      </c>
      <c r="U356" s="148">
        <v>0</v>
      </c>
      <c r="V356" s="148">
        <v>0</v>
      </c>
      <c r="W356" s="148">
        <v>-85.939869898873397</v>
      </c>
      <c r="X356" s="148">
        <v>0</v>
      </c>
      <c r="Y356" s="148">
        <v>0</v>
      </c>
      <c r="Z356" s="148">
        <v>0</v>
      </c>
      <c r="AA356" s="148"/>
      <c r="AB356" s="148">
        <v>0</v>
      </c>
      <c r="AC356" s="148">
        <v>0</v>
      </c>
      <c r="AD356" s="148">
        <v>0</v>
      </c>
      <c r="AE356" s="148">
        <v>0</v>
      </c>
      <c r="AF356" s="148">
        <v>0</v>
      </c>
      <c r="AG356" s="148">
        <v>0</v>
      </c>
      <c r="AH356" s="148">
        <v>0</v>
      </c>
      <c r="AI356" s="148">
        <v>0</v>
      </c>
      <c r="AJ356" s="148">
        <v>-306.407607415472</v>
      </c>
      <c r="AK356" s="148">
        <v>0</v>
      </c>
      <c r="AL356" s="148">
        <v>0</v>
      </c>
      <c r="AM356" s="148">
        <v>0</v>
      </c>
      <c r="AN356" s="148"/>
    </row>
    <row r="357" spans="1:40" ht="10.199999999999999" x14ac:dyDescent="0.2">
      <c r="A357" s="147" t="s">
        <v>760</v>
      </c>
      <c r="B357" s="148">
        <v>0</v>
      </c>
      <c r="C357" s="148">
        <v>0</v>
      </c>
      <c r="D357" s="148">
        <v>0</v>
      </c>
      <c r="E357" s="148">
        <v>0</v>
      </c>
      <c r="F357" s="148">
        <v>0</v>
      </c>
      <c r="G357" s="148">
        <v>0</v>
      </c>
      <c r="H357" s="148">
        <v>0</v>
      </c>
      <c r="I357" s="148">
        <v>0</v>
      </c>
      <c r="J357" s="148">
        <v>-282.76753174679101</v>
      </c>
      <c r="K357" s="148">
        <v>0</v>
      </c>
      <c r="L357" s="148">
        <v>0</v>
      </c>
      <c r="M357" s="148">
        <v>0</v>
      </c>
      <c r="N357" s="148"/>
      <c r="O357" s="148">
        <v>0</v>
      </c>
      <c r="P357" s="148">
        <v>0</v>
      </c>
      <c r="Q357" s="148">
        <v>0</v>
      </c>
      <c r="R357" s="148">
        <v>0</v>
      </c>
      <c r="S357" s="148">
        <v>0</v>
      </c>
      <c r="T357" s="148">
        <v>0</v>
      </c>
      <c r="U357" s="148">
        <v>0</v>
      </c>
      <c r="V357" s="148">
        <v>0</v>
      </c>
      <c r="W357" s="148">
        <v>-282.135227399776</v>
      </c>
      <c r="X357" s="148">
        <v>0</v>
      </c>
      <c r="Y357" s="148">
        <v>0</v>
      </c>
      <c r="Z357" s="148">
        <v>0</v>
      </c>
      <c r="AA357" s="148"/>
      <c r="AB357" s="148">
        <v>0</v>
      </c>
      <c r="AC357" s="148">
        <v>0</v>
      </c>
      <c r="AD357" s="148">
        <v>0</v>
      </c>
      <c r="AE357" s="148">
        <v>0</v>
      </c>
      <c r="AF357" s="148">
        <v>0</v>
      </c>
      <c r="AG357" s="148">
        <v>0</v>
      </c>
      <c r="AH357" s="148">
        <v>0</v>
      </c>
      <c r="AI357" s="148">
        <v>0</v>
      </c>
      <c r="AJ357" s="148">
        <v>-445.26660756607401</v>
      </c>
      <c r="AK357" s="148">
        <v>0</v>
      </c>
      <c r="AL357" s="148">
        <v>0</v>
      </c>
      <c r="AM357" s="148">
        <v>0</v>
      </c>
      <c r="AN357" s="148"/>
    </row>
    <row r="358" spans="1:40" ht="10.199999999999999" x14ac:dyDescent="0.2">
      <c r="A358" s="147" t="s">
        <v>761</v>
      </c>
      <c r="B358" s="148">
        <v>0</v>
      </c>
      <c r="C358" s="148">
        <v>0</v>
      </c>
      <c r="D358" s="148">
        <v>0</v>
      </c>
      <c r="E358" s="148">
        <v>0</v>
      </c>
      <c r="F358" s="148">
        <v>0</v>
      </c>
      <c r="G358" s="148">
        <v>0</v>
      </c>
      <c r="H358" s="148">
        <v>0</v>
      </c>
      <c r="I358" s="148">
        <v>0</v>
      </c>
      <c r="J358" s="148">
        <v>0</v>
      </c>
      <c r="K358" s="148">
        <v>0</v>
      </c>
      <c r="L358" s="148">
        <v>0</v>
      </c>
      <c r="M358" s="148">
        <v>0</v>
      </c>
      <c r="N358" s="148"/>
      <c r="O358" s="148">
        <v>0</v>
      </c>
      <c r="P358" s="148">
        <v>0</v>
      </c>
      <c r="Q358" s="148">
        <v>0</v>
      </c>
      <c r="R358" s="148">
        <v>0</v>
      </c>
      <c r="S358" s="148">
        <v>0</v>
      </c>
      <c r="T358" s="148">
        <v>0</v>
      </c>
      <c r="U358" s="148">
        <v>0</v>
      </c>
      <c r="V358" s="148">
        <v>0</v>
      </c>
      <c r="W358" s="148">
        <v>0</v>
      </c>
      <c r="X358" s="148">
        <v>0</v>
      </c>
      <c r="Y358" s="148">
        <v>0</v>
      </c>
      <c r="Z358" s="148">
        <v>0</v>
      </c>
      <c r="AA358" s="148"/>
      <c r="AB358" s="148">
        <v>0</v>
      </c>
      <c r="AC358" s="148">
        <v>0</v>
      </c>
      <c r="AD358" s="148">
        <v>0</v>
      </c>
      <c r="AE358" s="148">
        <v>0</v>
      </c>
      <c r="AF358" s="148">
        <v>0</v>
      </c>
      <c r="AG358" s="148">
        <v>0</v>
      </c>
      <c r="AH358" s="148">
        <v>0</v>
      </c>
      <c r="AI358" s="148">
        <v>0</v>
      </c>
      <c r="AJ358" s="148">
        <v>0</v>
      </c>
      <c r="AK358" s="148">
        <v>0</v>
      </c>
      <c r="AL358" s="148">
        <v>0</v>
      </c>
      <c r="AM358" s="148">
        <v>0</v>
      </c>
      <c r="AN358" s="148"/>
    </row>
    <row r="359" spans="1:40" ht="10.199999999999999" x14ac:dyDescent="0.2">
      <c r="A359" s="147" t="s">
        <v>762</v>
      </c>
      <c r="B359" s="148">
        <v>0</v>
      </c>
      <c r="C359" s="148">
        <v>0</v>
      </c>
      <c r="D359" s="148">
        <v>0</v>
      </c>
      <c r="E359" s="148">
        <v>0</v>
      </c>
      <c r="F359" s="148">
        <v>0</v>
      </c>
      <c r="G359" s="148">
        <v>0</v>
      </c>
      <c r="H359" s="148">
        <v>0</v>
      </c>
      <c r="I359" s="148">
        <v>0</v>
      </c>
      <c r="J359" s="148">
        <v>0</v>
      </c>
      <c r="K359" s="148">
        <v>0</v>
      </c>
      <c r="L359" s="148">
        <v>0</v>
      </c>
      <c r="M359" s="148">
        <v>1</v>
      </c>
      <c r="N359" s="148"/>
      <c r="O359" s="148">
        <v>0</v>
      </c>
      <c r="P359" s="148">
        <v>0</v>
      </c>
      <c r="Q359" s="148">
        <v>0</v>
      </c>
      <c r="R359" s="148">
        <v>0</v>
      </c>
      <c r="S359" s="148">
        <v>0</v>
      </c>
      <c r="T359" s="148">
        <v>0</v>
      </c>
      <c r="U359" s="148">
        <v>0</v>
      </c>
      <c r="V359" s="148">
        <v>0</v>
      </c>
      <c r="W359" s="148">
        <v>0</v>
      </c>
      <c r="X359" s="148">
        <v>0</v>
      </c>
      <c r="Y359" s="148">
        <v>0</v>
      </c>
      <c r="Z359" s="148">
        <v>1</v>
      </c>
      <c r="AA359" s="148"/>
      <c r="AB359" s="148">
        <v>0</v>
      </c>
      <c r="AC359" s="148">
        <v>0</v>
      </c>
      <c r="AD359" s="148">
        <v>0</v>
      </c>
      <c r="AE359" s="148">
        <v>0</v>
      </c>
      <c r="AF359" s="148">
        <v>0</v>
      </c>
      <c r="AG359" s="148">
        <v>0</v>
      </c>
      <c r="AH359" s="148">
        <v>0</v>
      </c>
      <c r="AI359" s="148">
        <v>0</v>
      </c>
      <c r="AJ359" s="148">
        <v>0</v>
      </c>
      <c r="AK359" s="148">
        <v>0</v>
      </c>
      <c r="AL359" s="148">
        <v>0</v>
      </c>
      <c r="AM359" s="148">
        <v>1</v>
      </c>
      <c r="AN359" s="148"/>
    </row>
    <row r="360" spans="1:40" ht="10.199999999999999" x14ac:dyDescent="0.2">
      <c r="A360" s="147" t="s">
        <v>763</v>
      </c>
      <c r="B360" s="148">
        <v>0</v>
      </c>
      <c r="C360" s="148">
        <v>0</v>
      </c>
      <c r="D360" s="148">
        <v>0</v>
      </c>
      <c r="E360" s="148">
        <v>0</v>
      </c>
      <c r="F360" s="148">
        <v>0</v>
      </c>
      <c r="G360" s="148">
        <v>0</v>
      </c>
      <c r="H360" s="148">
        <v>0</v>
      </c>
      <c r="I360" s="148">
        <v>0</v>
      </c>
      <c r="J360" s="148">
        <v>0</v>
      </c>
      <c r="K360" s="148">
        <v>0</v>
      </c>
      <c r="L360" s="148">
        <v>0</v>
      </c>
      <c r="M360" s="148">
        <v>-686.56827318132105</v>
      </c>
      <c r="N360" s="148"/>
      <c r="O360" s="148">
        <v>0</v>
      </c>
      <c r="P360" s="148">
        <v>0</v>
      </c>
      <c r="Q360" s="148">
        <v>0</v>
      </c>
      <c r="R360" s="148">
        <v>0</v>
      </c>
      <c r="S360" s="148">
        <v>0</v>
      </c>
      <c r="T360" s="148">
        <v>0</v>
      </c>
      <c r="U360" s="148">
        <v>0</v>
      </c>
      <c r="V360" s="148">
        <v>0</v>
      </c>
      <c r="W360" s="148">
        <v>0</v>
      </c>
      <c r="X360" s="148">
        <v>0</v>
      </c>
      <c r="Y360" s="148">
        <v>0</v>
      </c>
      <c r="Z360" s="148">
        <v>-368.07509729864898</v>
      </c>
      <c r="AA360" s="148"/>
      <c r="AB360" s="148">
        <v>0</v>
      </c>
      <c r="AC360" s="148">
        <v>0</v>
      </c>
      <c r="AD360" s="148">
        <v>0</v>
      </c>
      <c r="AE360" s="148">
        <v>0</v>
      </c>
      <c r="AF360" s="148">
        <v>0</v>
      </c>
      <c r="AG360" s="148">
        <v>0</v>
      </c>
      <c r="AH360" s="148">
        <v>0</v>
      </c>
      <c r="AI360" s="148">
        <v>0</v>
      </c>
      <c r="AJ360" s="148">
        <v>0</v>
      </c>
      <c r="AK360" s="148">
        <v>0</v>
      </c>
      <c r="AL360" s="148">
        <v>0</v>
      </c>
      <c r="AM360" s="148">
        <v>-751.67421498154704</v>
      </c>
      <c r="AN360" s="148"/>
    </row>
    <row r="361" spans="1:40" ht="10.199999999999999" x14ac:dyDescent="0.2">
      <c r="A361" s="147" t="s">
        <v>764</v>
      </c>
      <c r="B361" s="148">
        <v>0</v>
      </c>
      <c r="C361" s="148">
        <v>0</v>
      </c>
      <c r="D361" s="148">
        <v>0</v>
      </c>
      <c r="E361" s="148">
        <v>0</v>
      </c>
      <c r="F361" s="148">
        <v>0</v>
      </c>
      <c r="G361" s="148">
        <v>0</v>
      </c>
      <c r="H361" s="148">
        <v>0</v>
      </c>
      <c r="I361" s="148">
        <v>0</v>
      </c>
      <c r="J361" s="148">
        <v>0</v>
      </c>
      <c r="K361" s="148">
        <v>0</v>
      </c>
      <c r="L361" s="148">
        <v>0</v>
      </c>
      <c r="M361" s="148">
        <v>686.56827318132105</v>
      </c>
      <c r="N361" s="148"/>
      <c r="O361" s="148">
        <v>0</v>
      </c>
      <c r="P361" s="148">
        <v>0</v>
      </c>
      <c r="Q361" s="148">
        <v>0</v>
      </c>
      <c r="R361" s="148">
        <v>0</v>
      </c>
      <c r="S361" s="148">
        <v>0</v>
      </c>
      <c r="T361" s="148">
        <v>0</v>
      </c>
      <c r="U361" s="148">
        <v>0</v>
      </c>
      <c r="V361" s="148">
        <v>0</v>
      </c>
      <c r="W361" s="148">
        <v>0</v>
      </c>
      <c r="X361" s="148">
        <v>0</v>
      </c>
      <c r="Y361" s="148">
        <v>0</v>
      </c>
      <c r="Z361" s="148">
        <v>368.07509729864898</v>
      </c>
      <c r="AA361" s="148"/>
      <c r="AB361" s="148">
        <v>0</v>
      </c>
      <c r="AC361" s="148">
        <v>0</v>
      </c>
      <c r="AD361" s="148">
        <v>0</v>
      </c>
      <c r="AE361" s="148">
        <v>0</v>
      </c>
      <c r="AF361" s="148">
        <v>0</v>
      </c>
      <c r="AG361" s="148">
        <v>0</v>
      </c>
      <c r="AH361" s="148">
        <v>0</v>
      </c>
      <c r="AI361" s="148">
        <v>0</v>
      </c>
      <c r="AJ361" s="148">
        <v>0</v>
      </c>
      <c r="AK361" s="148">
        <v>0</v>
      </c>
      <c r="AL361" s="148">
        <v>0</v>
      </c>
      <c r="AM361" s="148">
        <v>751.67421498156102</v>
      </c>
      <c r="AN361" s="148"/>
    </row>
    <row r="362" spans="1:40" ht="10.199999999999999" x14ac:dyDescent="0.2">
      <c r="A362" s="147" t="s">
        <v>765</v>
      </c>
      <c r="B362" s="148">
        <v>0</v>
      </c>
      <c r="C362" s="148">
        <v>0</v>
      </c>
      <c r="D362" s="148">
        <v>0</v>
      </c>
      <c r="E362" s="148">
        <v>0</v>
      </c>
      <c r="F362" s="148">
        <v>0</v>
      </c>
      <c r="G362" s="148">
        <v>0</v>
      </c>
      <c r="H362" s="148">
        <v>0</v>
      </c>
      <c r="I362" s="148">
        <v>0</v>
      </c>
      <c r="J362" s="148">
        <v>0</v>
      </c>
      <c r="K362" s="148">
        <v>0</v>
      </c>
      <c r="L362" s="148">
        <v>0</v>
      </c>
      <c r="M362" s="148">
        <v>0</v>
      </c>
      <c r="N362" s="148"/>
      <c r="O362" s="148">
        <v>0</v>
      </c>
      <c r="P362" s="148">
        <v>0</v>
      </c>
      <c r="Q362" s="148">
        <v>0</v>
      </c>
      <c r="R362" s="148">
        <v>0</v>
      </c>
      <c r="S362" s="148">
        <v>0</v>
      </c>
      <c r="T362" s="148">
        <v>0</v>
      </c>
      <c r="U362" s="148">
        <v>0</v>
      </c>
      <c r="V362" s="148">
        <v>0</v>
      </c>
      <c r="W362" s="148">
        <v>0</v>
      </c>
      <c r="X362" s="148">
        <v>0</v>
      </c>
      <c r="Y362" s="148">
        <v>0</v>
      </c>
      <c r="Z362" s="148">
        <v>0</v>
      </c>
      <c r="AA362" s="148"/>
      <c r="AB362" s="148">
        <v>0</v>
      </c>
      <c r="AC362" s="148">
        <v>0</v>
      </c>
      <c r="AD362" s="148">
        <v>0</v>
      </c>
      <c r="AE362" s="148">
        <v>0</v>
      </c>
      <c r="AF362" s="148">
        <v>0</v>
      </c>
      <c r="AG362" s="148">
        <v>0</v>
      </c>
      <c r="AH362" s="148">
        <v>0</v>
      </c>
      <c r="AI362" s="148">
        <v>0</v>
      </c>
      <c r="AJ362" s="148">
        <v>0</v>
      </c>
      <c r="AK362" s="148">
        <v>0</v>
      </c>
      <c r="AL362" s="148">
        <v>0</v>
      </c>
      <c r="AM362" s="148">
        <v>0</v>
      </c>
      <c r="AN362" s="148"/>
    </row>
    <row r="363" spans="1:40" ht="10.199999999999999" x14ac:dyDescent="0.2">
      <c r="A363" s="147" t="s">
        <v>766</v>
      </c>
      <c r="B363" s="148">
        <v>0</v>
      </c>
      <c r="C363" s="148">
        <v>0</v>
      </c>
      <c r="D363" s="148">
        <v>-1204.7158511089399</v>
      </c>
      <c r="E363" s="148">
        <v>0</v>
      </c>
      <c r="F363" s="148">
        <v>0</v>
      </c>
      <c r="G363" s="148">
        <v>800.91510967441695</v>
      </c>
      <c r="H363" s="148">
        <v>0</v>
      </c>
      <c r="I363" s="148">
        <v>0</v>
      </c>
      <c r="J363" s="148">
        <v>-282.76753174679101</v>
      </c>
      <c r="K363" s="148">
        <v>0</v>
      </c>
      <c r="L363" s="148">
        <v>0</v>
      </c>
      <c r="M363" s="148">
        <v>686.56827318132105</v>
      </c>
      <c r="N363" s="148"/>
      <c r="O363" s="148">
        <v>0</v>
      </c>
      <c r="P363" s="148">
        <v>0</v>
      </c>
      <c r="Q363" s="148">
        <v>-918.61040940669</v>
      </c>
      <c r="R363" s="148">
        <v>0</v>
      </c>
      <c r="S363" s="148">
        <v>0</v>
      </c>
      <c r="T363" s="148">
        <v>832.67053950781701</v>
      </c>
      <c r="U363" s="148">
        <v>0</v>
      </c>
      <c r="V363" s="148">
        <v>0</v>
      </c>
      <c r="W363" s="148">
        <v>-282.135227399776</v>
      </c>
      <c r="X363" s="148">
        <v>0</v>
      </c>
      <c r="Y363" s="148">
        <v>0</v>
      </c>
      <c r="Z363" s="148">
        <v>368.07509729864898</v>
      </c>
      <c r="AA363" s="148"/>
      <c r="AB363" s="148">
        <v>0</v>
      </c>
      <c r="AC363" s="148">
        <v>0</v>
      </c>
      <c r="AD363" s="148">
        <v>-1324.83099603857</v>
      </c>
      <c r="AE363" s="148">
        <v>0</v>
      </c>
      <c r="AF363" s="148">
        <v>0</v>
      </c>
      <c r="AG363" s="148">
        <v>1018.42338862309</v>
      </c>
      <c r="AH363" s="148">
        <v>0</v>
      </c>
      <c r="AI363" s="148">
        <v>0</v>
      </c>
      <c r="AJ363" s="148">
        <v>-445.26660756607401</v>
      </c>
      <c r="AK363" s="148">
        <v>0</v>
      </c>
      <c r="AL363" s="148">
        <v>0</v>
      </c>
      <c r="AM363" s="148">
        <v>751.67421498156102</v>
      </c>
      <c r="AN363" s="148"/>
    </row>
    <row r="364" spans="1:40" ht="10.199999999999999" x14ac:dyDescent="0.2">
      <c r="A364" s="147" t="s">
        <v>509</v>
      </c>
      <c r="B364" s="148">
        <v>0</v>
      </c>
      <c r="C364" s="148">
        <v>0</v>
      </c>
      <c r="D364" s="148">
        <v>0</v>
      </c>
      <c r="E364" s="148">
        <v>0</v>
      </c>
      <c r="F364" s="148">
        <v>0</v>
      </c>
      <c r="G364" s="148">
        <v>0</v>
      </c>
      <c r="H364" s="148">
        <v>0</v>
      </c>
      <c r="I364" s="148">
        <v>0</v>
      </c>
      <c r="J364" s="148">
        <v>0</v>
      </c>
      <c r="K364" s="148">
        <v>0</v>
      </c>
      <c r="L364" s="148">
        <v>0</v>
      </c>
      <c r="M364" s="148">
        <v>0</v>
      </c>
      <c r="N364" s="148"/>
      <c r="O364" s="148">
        <v>0</v>
      </c>
      <c r="P364" s="148">
        <v>0</v>
      </c>
      <c r="Q364" s="148">
        <v>0</v>
      </c>
      <c r="R364" s="148">
        <v>0</v>
      </c>
      <c r="S364" s="148">
        <v>0</v>
      </c>
      <c r="T364" s="148">
        <v>0</v>
      </c>
      <c r="U364" s="148">
        <v>0</v>
      </c>
      <c r="V364" s="148">
        <v>0</v>
      </c>
      <c r="W364" s="148">
        <v>0</v>
      </c>
      <c r="X364" s="148">
        <v>0</v>
      </c>
      <c r="Y364" s="148">
        <v>0</v>
      </c>
      <c r="Z364" s="148">
        <v>0</v>
      </c>
      <c r="AA364" s="148"/>
      <c r="AB364" s="148">
        <v>0</v>
      </c>
      <c r="AC364" s="148">
        <v>0</v>
      </c>
      <c r="AD364" s="148">
        <v>0</v>
      </c>
      <c r="AE364" s="148">
        <v>0</v>
      </c>
      <c r="AF364" s="148">
        <v>0</v>
      </c>
      <c r="AG364" s="148">
        <v>0</v>
      </c>
      <c r="AH364" s="148">
        <v>0</v>
      </c>
      <c r="AI364" s="148">
        <v>0</v>
      </c>
      <c r="AJ364" s="148">
        <v>0</v>
      </c>
      <c r="AK364" s="148">
        <v>0</v>
      </c>
      <c r="AL364" s="148">
        <v>0</v>
      </c>
      <c r="AM364" s="148">
        <v>0</v>
      </c>
      <c r="AN364" s="148"/>
    </row>
    <row r="365" spans="1:40" ht="14.4" x14ac:dyDescent="0.3">
      <c r="A365" s="147" t="s">
        <v>767</v>
      </c>
      <c r="B365" s="148">
        <v>0</v>
      </c>
      <c r="C365" s="148">
        <v>0</v>
      </c>
      <c r="D365" s="148">
        <v>0</v>
      </c>
      <c r="E365" s="148">
        <v>0</v>
      </c>
      <c r="F365" s="148">
        <v>0</v>
      </c>
      <c r="G365" s="148">
        <v>0</v>
      </c>
      <c r="H365" s="148">
        <v>0</v>
      </c>
      <c r="I365" s="148">
        <v>0</v>
      </c>
      <c r="J365" s="148">
        <v>0</v>
      </c>
      <c r="K365" s="148">
        <v>0</v>
      </c>
      <c r="L365" s="148">
        <v>0</v>
      </c>
      <c r="M365" s="148">
        <v>0</v>
      </c>
      <c r="N365" s="10"/>
      <c r="O365" s="148">
        <v>0</v>
      </c>
      <c r="P365" s="148">
        <v>0</v>
      </c>
      <c r="Q365" s="148">
        <v>0</v>
      </c>
      <c r="R365" s="148">
        <v>0</v>
      </c>
      <c r="S365" s="148">
        <v>0</v>
      </c>
      <c r="T365" s="148">
        <v>0</v>
      </c>
      <c r="U365" s="148">
        <v>0</v>
      </c>
      <c r="V365" s="148">
        <v>0</v>
      </c>
      <c r="W365" s="148">
        <v>0</v>
      </c>
      <c r="X365" s="148">
        <v>0</v>
      </c>
      <c r="Y365" s="148">
        <v>0</v>
      </c>
      <c r="Z365" s="148">
        <v>0</v>
      </c>
      <c r="AA365" s="10"/>
      <c r="AB365" s="148">
        <v>0</v>
      </c>
      <c r="AC365" s="148">
        <v>0</v>
      </c>
      <c r="AD365" s="148">
        <v>0</v>
      </c>
      <c r="AE365" s="148">
        <v>0</v>
      </c>
      <c r="AF365" s="148">
        <v>0</v>
      </c>
      <c r="AG365" s="148">
        <v>0</v>
      </c>
      <c r="AH365" s="148">
        <v>0</v>
      </c>
      <c r="AI365" s="148">
        <v>0</v>
      </c>
      <c r="AJ365" s="148">
        <v>0</v>
      </c>
      <c r="AK365" s="148">
        <v>0</v>
      </c>
      <c r="AL365" s="148">
        <v>0</v>
      </c>
      <c r="AM365" s="148">
        <v>0</v>
      </c>
      <c r="AN365" s="10"/>
    </row>
    <row r="366" spans="1:40" ht="14.4" x14ac:dyDescent="0.3">
      <c r="A366" s="147" t="s">
        <v>768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48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48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48"/>
    </row>
    <row r="367" spans="1:40" ht="10.199999999999999" x14ac:dyDescent="0.2">
      <c r="A367" s="147" t="s">
        <v>769</v>
      </c>
      <c r="B367" s="148">
        <v>22658.340395087202</v>
      </c>
      <c r="C367" s="148">
        <v>10797.7579823172</v>
      </c>
      <c r="D367" s="148">
        <v>5362.8132268794998</v>
      </c>
      <c r="E367" s="148">
        <v>5793.3494615322597</v>
      </c>
      <c r="F367" s="148">
        <v>11442.296230002201</v>
      </c>
      <c r="G367" s="148">
        <v>6779.3208847389196</v>
      </c>
      <c r="H367" s="148">
        <v>13909.467077621601</v>
      </c>
      <c r="I367" s="148">
        <v>12380.0469825242</v>
      </c>
      <c r="J367" s="148">
        <v>2856.69177378216</v>
      </c>
      <c r="K367" s="148">
        <v>2779.74178818676</v>
      </c>
      <c r="L367" s="148">
        <v>7091.8595548142803</v>
      </c>
      <c r="M367" s="148">
        <v>7866.09259421555</v>
      </c>
      <c r="N367" s="148"/>
      <c r="O367" s="148">
        <v>17211.150880869202</v>
      </c>
      <c r="P367" s="148">
        <v>11836.7881681945</v>
      </c>
      <c r="Q367" s="148">
        <v>2421.63144571053</v>
      </c>
      <c r="R367" s="148">
        <v>2510.8133449229499</v>
      </c>
      <c r="S367" s="148">
        <v>6273.8884267968197</v>
      </c>
      <c r="T367" s="148">
        <v>3072.7565681484102</v>
      </c>
      <c r="U367" s="148">
        <v>11540.5952862841</v>
      </c>
      <c r="V367" s="148">
        <v>12353.4360677225</v>
      </c>
      <c r="W367" s="148">
        <v>-1380.2632899635801</v>
      </c>
      <c r="X367" s="148">
        <v>1973.2994819371399</v>
      </c>
      <c r="Y367" s="148">
        <v>6699.0057210800396</v>
      </c>
      <c r="Z367" s="148">
        <v>5734.5572987149699</v>
      </c>
      <c r="AA367" s="148"/>
      <c r="AB367" s="148">
        <v>17149.0890161721</v>
      </c>
      <c r="AC367" s="148">
        <v>12289.001246866401</v>
      </c>
      <c r="AD367" s="148">
        <v>-375.34946912288899</v>
      </c>
      <c r="AE367" s="148">
        <v>-653.766526135861</v>
      </c>
      <c r="AF367" s="148">
        <v>5758.2284553300997</v>
      </c>
      <c r="AG367" s="148">
        <v>1856.3063220234001</v>
      </c>
      <c r="AH367" s="148">
        <v>10584.702382405299</v>
      </c>
      <c r="AI367" s="148">
        <v>12299.6058968133</v>
      </c>
      <c r="AJ367" s="148">
        <v>-1256.0655808137601</v>
      </c>
      <c r="AK367" s="148">
        <v>1294.5766048585299</v>
      </c>
      <c r="AL367" s="148">
        <v>5340.8833339440798</v>
      </c>
      <c r="AM367" s="148">
        <v>2660.0058922962999</v>
      </c>
      <c r="AN367" s="148"/>
    </row>
    <row r="368" spans="1:40" ht="10.199999999999999" x14ac:dyDescent="0.2">
      <c r="A368" s="154" t="s">
        <v>770</v>
      </c>
      <c r="B368" s="148">
        <v>92349.8753</v>
      </c>
      <c r="C368" s="148">
        <v>44774.2490799999</v>
      </c>
      <c r="D368" s="148">
        <v>43455.191359999997</v>
      </c>
      <c r="E368" s="148">
        <v>16913.171939999898</v>
      </c>
      <c r="F368" s="148">
        <v>47414.190459999998</v>
      </c>
      <c r="G368" s="148">
        <v>52478.795279999998</v>
      </c>
      <c r="H368" s="148">
        <v>57216.985651270101</v>
      </c>
      <c r="I368" s="148">
        <v>51063.138981509997</v>
      </c>
      <c r="J368" s="148">
        <v>36396.2650536375</v>
      </c>
      <c r="K368" s="148">
        <v>12566.1071625435</v>
      </c>
      <c r="L368" s="148">
        <v>29871.131406893499</v>
      </c>
      <c r="M368" s="148">
        <v>56558.749538364696</v>
      </c>
      <c r="N368" s="153"/>
      <c r="O368" s="148">
        <v>70381.162657358596</v>
      </c>
      <c r="P368" s="148">
        <v>48874.559443854501</v>
      </c>
      <c r="Q368" s="148">
        <v>36717.009591243899</v>
      </c>
      <c r="R368" s="148">
        <v>15295.7304728292</v>
      </c>
      <c r="S368" s="148">
        <v>26486.391294081001</v>
      </c>
      <c r="T368" s="148">
        <v>37506.408470878399</v>
      </c>
      <c r="U368" s="148">
        <v>47588.460379317097</v>
      </c>
      <c r="V368" s="148">
        <v>50854.229436078604</v>
      </c>
      <c r="W368" s="148">
        <v>27021.429290765402</v>
      </c>
      <c r="X368" s="148">
        <v>9240.4015502082202</v>
      </c>
      <c r="Y368" s="148">
        <v>28201.563216531598</v>
      </c>
      <c r="Z368" s="148">
        <v>52485.6080805077</v>
      </c>
      <c r="AA368" s="153"/>
      <c r="AB368" s="148">
        <v>70021.927833319598</v>
      </c>
      <c r="AC368" s="148">
        <v>50579.624317068199</v>
      </c>
      <c r="AD368" s="148">
        <v>32489.935989600701</v>
      </c>
      <c r="AE368" s="148">
        <v>9585.3126507852303</v>
      </c>
      <c r="AF368" s="148">
        <v>24402.1550624107</v>
      </c>
      <c r="AG368" s="148">
        <v>30548.435141178201</v>
      </c>
      <c r="AH368" s="148">
        <v>43734.201736056297</v>
      </c>
      <c r="AI368" s="148">
        <v>50618.039475835001</v>
      </c>
      <c r="AJ368" s="148">
        <v>28945.971534839598</v>
      </c>
      <c r="AK368" s="148">
        <v>6499.7997659325902</v>
      </c>
      <c r="AL368" s="148">
        <v>22735.7109279328</v>
      </c>
      <c r="AM368" s="148">
        <v>44605.330994810603</v>
      </c>
      <c r="AN368" s="153"/>
    </row>
    <row r="369" spans="1:40" ht="10.199999999999999" x14ac:dyDescent="0.2">
      <c r="A369" s="147" t="s">
        <v>771</v>
      </c>
      <c r="B369" s="153">
        <v>0.245353232167139</v>
      </c>
      <c r="C369" s="153">
        <v>0.241160001656855</v>
      </c>
      <c r="D369" s="153">
        <v>0.123410185504692</v>
      </c>
      <c r="E369" s="153">
        <v>0.34253477006467797</v>
      </c>
      <c r="F369" s="153">
        <v>0.24132640711550901</v>
      </c>
      <c r="G369" s="153">
        <v>0.12918209818971499</v>
      </c>
      <c r="H369" s="153">
        <v>0.2431003122464</v>
      </c>
      <c r="I369" s="153">
        <v>0.242445866616367</v>
      </c>
      <c r="J369" s="153">
        <v>7.8488596826411405E-2</v>
      </c>
      <c r="K369" s="153">
        <v>0.22120946067311001</v>
      </c>
      <c r="L369" s="153">
        <v>0.237415163765027</v>
      </c>
      <c r="M369" s="153">
        <v>0.13907826213307301</v>
      </c>
      <c r="N369" s="148"/>
      <c r="O369" s="153">
        <v>0.244542008557878</v>
      </c>
      <c r="P369" s="153">
        <v>0.242187107216633</v>
      </c>
      <c r="Q369" s="153">
        <v>6.5953939949620302E-2</v>
      </c>
      <c r="R369" s="153">
        <v>0.16415125445515999</v>
      </c>
      <c r="S369" s="153">
        <v>0.23687214906467199</v>
      </c>
      <c r="T369" s="153">
        <v>8.1926174577185401E-2</v>
      </c>
      <c r="U369" s="153">
        <v>0.24250827184356499</v>
      </c>
      <c r="V369" s="153">
        <v>0.24291855770325299</v>
      </c>
      <c r="W369" s="153">
        <v>-5.10803212928225E-2</v>
      </c>
      <c r="X369" s="153">
        <v>0.21355126952168799</v>
      </c>
      <c r="Y369" s="153">
        <v>0.237540226747186</v>
      </c>
      <c r="Z369" s="153">
        <v>0.109259614367403</v>
      </c>
      <c r="AA369" s="148"/>
      <c r="AB369" s="153">
        <v>0.24491026663809901</v>
      </c>
      <c r="AC369" s="153">
        <v>0.24296347418142999</v>
      </c>
      <c r="AD369" s="153">
        <v>-1.15527918935583E-2</v>
      </c>
      <c r="AE369" s="153">
        <v>-6.8205028876372004E-2</v>
      </c>
      <c r="AF369" s="153">
        <v>0.23597212789620001</v>
      </c>
      <c r="AG369" s="153">
        <v>6.0766003673987497E-2</v>
      </c>
      <c r="AH369" s="153">
        <v>0.24202344989136601</v>
      </c>
      <c r="AI369" s="153">
        <v>0.242988587155477</v>
      </c>
      <c r="AJ369" s="153">
        <v>-4.3393450425457197E-2</v>
      </c>
      <c r="AK369" s="153">
        <v>0.199171767051009</v>
      </c>
      <c r="AL369" s="153">
        <v>0.234911648501931</v>
      </c>
      <c r="AM369" s="153">
        <v>5.9634259694334897E-2</v>
      </c>
      <c r="AN369" s="148"/>
    </row>
    <row r="370" spans="1:40" ht="10.199999999999999" x14ac:dyDescent="0.2">
      <c r="A370" s="147" t="s">
        <v>772</v>
      </c>
      <c r="B370" s="148">
        <v>109717.777948181</v>
      </c>
      <c r="C370" s="148">
        <v>109717.777948181</v>
      </c>
      <c r="D370" s="148">
        <v>109717.777948125</v>
      </c>
      <c r="E370" s="148">
        <v>109717.777948125</v>
      </c>
      <c r="F370" s="148">
        <v>109717.777948125</v>
      </c>
      <c r="G370" s="148">
        <v>109717.777948118</v>
      </c>
      <c r="H370" s="148">
        <v>109717.777948118</v>
      </c>
      <c r="I370" s="148">
        <v>109717.777948118</v>
      </c>
      <c r="J370" s="148">
        <v>109717.777948249</v>
      </c>
      <c r="K370" s="148">
        <v>109717.777948485</v>
      </c>
      <c r="L370" s="148">
        <v>109717.777948722</v>
      </c>
      <c r="M370" s="148">
        <v>109717.777951702</v>
      </c>
      <c r="N370" s="148"/>
      <c r="O370" s="148">
        <v>80247.659130215805</v>
      </c>
      <c r="P370" s="148">
        <v>80247.659125882303</v>
      </c>
      <c r="Q370" s="148">
        <v>80247.659121136996</v>
      </c>
      <c r="R370" s="148">
        <v>80247.659116636903</v>
      </c>
      <c r="S370" s="148">
        <v>80247.659131345004</v>
      </c>
      <c r="T370" s="148">
        <v>80247.659149103594</v>
      </c>
      <c r="U370" s="148">
        <v>80247.659184256598</v>
      </c>
      <c r="V370" s="148">
        <v>80247.659220038695</v>
      </c>
      <c r="W370" s="148">
        <v>80247.659256433602</v>
      </c>
      <c r="X370" s="148">
        <v>80247.659293591598</v>
      </c>
      <c r="Y370" s="148">
        <v>80247.659328891095</v>
      </c>
      <c r="Z370" s="148">
        <v>80247.659400417702</v>
      </c>
      <c r="AA370" s="148"/>
      <c r="AB370" s="148">
        <v>66947.213196964294</v>
      </c>
      <c r="AC370" s="148">
        <v>66947.213429392898</v>
      </c>
      <c r="AD370" s="148">
        <v>66947.213655128304</v>
      </c>
      <c r="AE370" s="148">
        <v>66947.213877533795</v>
      </c>
      <c r="AF370" s="148">
        <v>66947.214215279804</v>
      </c>
      <c r="AG370" s="148">
        <v>66947.214578707993</v>
      </c>
      <c r="AH370" s="148">
        <v>66947.215031950895</v>
      </c>
      <c r="AI370" s="148">
        <v>66947.215489642505</v>
      </c>
      <c r="AJ370" s="148">
        <v>66947.215946105003</v>
      </c>
      <c r="AK370" s="148">
        <v>66947.216402066406</v>
      </c>
      <c r="AL370" s="148">
        <v>66947.216862807007</v>
      </c>
      <c r="AM370" s="148">
        <v>66947.217574637194</v>
      </c>
      <c r="AN370" s="148"/>
    </row>
    <row r="371" spans="1:40" ht="10.199999999999999" x14ac:dyDescent="0.2">
      <c r="A371" s="154" t="s">
        <v>773</v>
      </c>
      <c r="B371" s="148">
        <v>541057.851199536</v>
      </c>
      <c r="C371" s="148">
        <v>541057.851199536</v>
      </c>
      <c r="D371" s="148">
        <v>541057.851199536</v>
      </c>
      <c r="E371" s="148">
        <v>541057.851199536</v>
      </c>
      <c r="F371" s="148">
        <v>541057.851199536</v>
      </c>
      <c r="G371" s="148">
        <v>541057.851199536</v>
      </c>
      <c r="H371" s="148">
        <v>541057.85119953495</v>
      </c>
      <c r="I371" s="148">
        <v>541057.85119953495</v>
      </c>
      <c r="J371" s="148">
        <v>541057.851200009</v>
      </c>
      <c r="K371" s="148">
        <v>541057.85120095697</v>
      </c>
      <c r="L371" s="148">
        <v>541057.85120190796</v>
      </c>
      <c r="M371" s="148">
        <v>541057.851214219</v>
      </c>
      <c r="N371" s="153"/>
      <c r="O371" s="148">
        <v>450652.95279778203</v>
      </c>
      <c r="P371" s="148">
        <v>450652.95278041298</v>
      </c>
      <c r="Q371" s="148">
        <v>450652.95276283799</v>
      </c>
      <c r="R371" s="148">
        <v>450652.95274480199</v>
      </c>
      <c r="S371" s="148">
        <v>450652.95280375198</v>
      </c>
      <c r="T371" s="148">
        <v>450652.952875435</v>
      </c>
      <c r="U371" s="148">
        <v>450652.95301632897</v>
      </c>
      <c r="V371" s="148">
        <v>450652.95315974398</v>
      </c>
      <c r="W371" s="148">
        <v>450652.95330611803</v>
      </c>
      <c r="X371" s="148">
        <v>450652.95345504797</v>
      </c>
      <c r="Y371" s="148">
        <v>450652.95359652903</v>
      </c>
      <c r="Z371" s="148">
        <v>450652.95388365397</v>
      </c>
      <c r="AA371" s="153"/>
      <c r="AB371" s="148">
        <v>414766.42786573101</v>
      </c>
      <c r="AC371" s="148">
        <v>414766.42879730801</v>
      </c>
      <c r="AD371" s="148">
        <v>414766.42970953498</v>
      </c>
      <c r="AE371" s="148">
        <v>414766.43060094002</v>
      </c>
      <c r="AF371" s="148">
        <v>414766.431954631</v>
      </c>
      <c r="AG371" s="148">
        <v>414766.43341417599</v>
      </c>
      <c r="AH371" s="148">
        <v>414766.43523078097</v>
      </c>
      <c r="AI371" s="148">
        <v>414766.43706521601</v>
      </c>
      <c r="AJ371" s="148">
        <v>414766.43889842398</v>
      </c>
      <c r="AK371" s="148">
        <v>414766.44072592398</v>
      </c>
      <c r="AL371" s="148">
        <v>414766.44257258001</v>
      </c>
      <c r="AM371" s="148">
        <v>414766.44542976998</v>
      </c>
      <c r="AN371" s="153"/>
    </row>
    <row r="372" spans="1:40" ht="10.199999999999999" x14ac:dyDescent="0.2">
      <c r="A372" s="147" t="s">
        <v>774</v>
      </c>
      <c r="B372" s="153">
        <v>0.20278382007567999</v>
      </c>
      <c r="C372" s="153">
        <v>0.20278382007567999</v>
      </c>
      <c r="D372" s="153">
        <v>0.20278382007557699</v>
      </c>
      <c r="E372" s="153">
        <v>0.20278382007557699</v>
      </c>
      <c r="F372" s="153">
        <v>0.20278382007557699</v>
      </c>
      <c r="G372" s="153">
        <v>0.202783820075565</v>
      </c>
      <c r="H372" s="153">
        <v>0.202783820075565</v>
      </c>
      <c r="I372" s="153">
        <v>0.202783820075565</v>
      </c>
      <c r="J372" s="153">
        <v>0.20278382007562801</v>
      </c>
      <c r="K372" s="153">
        <v>0.20278382007571</v>
      </c>
      <c r="L372" s="153">
        <v>0.20278382007579199</v>
      </c>
      <c r="M372" s="153">
        <v>0.202783820076685</v>
      </c>
      <c r="N372" s="148"/>
      <c r="O372" s="153">
        <v>0.17806975108454401</v>
      </c>
      <c r="P372" s="153">
        <v>0.17806975108179099</v>
      </c>
      <c r="Q372" s="153">
        <v>0.178069751078205</v>
      </c>
      <c r="R372" s="153">
        <v>0.17806975107534601</v>
      </c>
      <c r="S372" s="153">
        <v>0.17806975108469</v>
      </c>
      <c r="T372" s="153">
        <v>0.178069751095772</v>
      </c>
      <c r="U372" s="153">
        <v>0.178069751118104</v>
      </c>
      <c r="V372" s="153">
        <v>0.17806975114083601</v>
      </c>
      <c r="W372" s="153">
        <v>0.178069751163759</v>
      </c>
      <c r="X372" s="153">
        <v>0.17806975118736401</v>
      </c>
      <c r="Y372" s="153">
        <v>0.17806975120978999</v>
      </c>
      <c r="Z372" s="153">
        <v>0.178069751255054</v>
      </c>
      <c r="AA372" s="148"/>
      <c r="AB372" s="153">
        <v>0.161409431186259</v>
      </c>
      <c r="AC372" s="153">
        <v>0.16140943138411301</v>
      </c>
      <c r="AD372" s="153">
        <v>0.16140943157335999</v>
      </c>
      <c r="AE372" s="153">
        <v>0.16140943176268199</v>
      </c>
      <c r="AF372" s="153">
        <v>0.16140943205018701</v>
      </c>
      <c r="AG372" s="153">
        <v>0.16140943235841801</v>
      </c>
      <c r="AH372" s="153">
        <v>0.161409432744239</v>
      </c>
      <c r="AI372" s="153">
        <v>0.16140943313384801</v>
      </c>
      <c r="AJ372" s="153">
        <v>0.16140943352097001</v>
      </c>
      <c r="AK372" s="153">
        <v>0.161409433909106</v>
      </c>
      <c r="AL372" s="153">
        <v>0.16140943430131</v>
      </c>
      <c r="AM372" s="153">
        <v>0.161409434905632</v>
      </c>
      <c r="AN372" s="148"/>
    </row>
    <row r="373" spans="1:40" ht="10.199999999999999" x14ac:dyDescent="0.2">
      <c r="A373" s="147" t="s">
        <v>775</v>
      </c>
      <c r="B373" s="148">
        <v>18727.060496846701</v>
      </c>
      <c r="C373" s="148">
        <v>9079.4932694624295</v>
      </c>
      <c r="D373" s="148">
        <v>8812.0097060960306</v>
      </c>
      <c r="E373" s="148">
        <v>3429.7176155882598</v>
      </c>
      <c r="F373" s="148">
        <v>9614.8306672698</v>
      </c>
      <c r="G373" s="148">
        <v>10641.850579841899</v>
      </c>
      <c r="H373" s="148">
        <v>11602.678923573299</v>
      </c>
      <c r="I373" s="148">
        <v>10354.7783877201</v>
      </c>
      <c r="J373" s="148">
        <v>7380.5736640617197</v>
      </c>
      <c r="K373" s="148">
        <v>2548.2032139013199</v>
      </c>
      <c r="L373" s="148">
        <v>6057.3821366758602</v>
      </c>
      <c r="M373" s="148">
        <v>11469.19929015</v>
      </c>
      <c r="N373" s="148"/>
      <c r="O373" s="148">
        <v>12532.756115436599</v>
      </c>
      <c r="P373" s="148">
        <v>8703.08063439937</v>
      </c>
      <c r="Q373" s="148">
        <v>6538.1887582488898</v>
      </c>
      <c r="R373" s="148">
        <v>2723.7069178123002</v>
      </c>
      <c r="S373" s="148">
        <v>4716.4251048687202</v>
      </c>
      <c r="T373" s="148">
        <v>6678.7568209056899</v>
      </c>
      <c r="U373" s="148">
        <v>8474.0652958387709</v>
      </c>
      <c r="V373" s="148">
        <v>9055.5999801415001</v>
      </c>
      <c r="W373" s="148">
        <v>4811.6991898957203</v>
      </c>
      <c r="X373" s="148">
        <v>1645.43600491692</v>
      </c>
      <c r="Y373" s="148">
        <v>5021.8453456949601</v>
      </c>
      <c r="Z373" s="148">
        <v>9346.0991753662802</v>
      </c>
      <c r="AA373" s="148"/>
      <c r="AB373" s="148">
        <v>11302.199542141399</v>
      </c>
      <c r="AC373" s="148">
        <v>8164.0284006400498</v>
      </c>
      <c r="AD373" s="148">
        <v>5244.1820999363199</v>
      </c>
      <c r="AE373" s="148">
        <v>1547.15986823089</v>
      </c>
      <c r="AF373" s="148">
        <v>3938.7379894243199</v>
      </c>
      <c r="AG373" s="148">
        <v>4930.8055755755404</v>
      </c>
      <c r="AH373" s="148">
        <v>7059.11269373901</v>
      </c>
      <c r="AI373" s="148">
        <v>8170.2290581412899</v>
      </c>
      <c r="AJ373" s="148">
        <v>4672.1528681526197</v>
      </c>
      <c r="AK373" s="148">
        <v>1049.1290007417199</v>
      </c>
      <c r="AL373" s="148">
        <v>3669.75823931575</v>
      </c>
      <c r="AM373" s="148">
        <v>7199.7212696510996</v>
      </c>
      <c r="AN373" s="148"/>
    </row>
    <row r="374" spans="1:40" ht="10.199999999999999" x14ac:dyDescent="0.2">
      <c r="A374" s="147" t="s">
        <v>776</v>
      </c>
      <c r="B374" s="148">
        <v>-3931.2798982405202</v>
      </c>
      <c r="C374" s="148">
        <v>-1718.2647128548299</v>
      </c>
      <c r="D374" s="148">
        <v>3449.1964792165199</v>
      </c>
      <c r="E374" s="148">
        <v>-2363.6318459439999</v>
      </c>
      <c r="F374" s="148">
        <v>-1827.4655627324601</v>
      </c>
      <c r="G374" s="148">
        <v>3862.52969510301</v>
      </c>
      <c r="H374" s="148">
        <v>-2306.7881540482299</v>
      </c>
      <c r="I374" s="148">
        <v>-2025.2685948041101</v>
      </c>
      <c r="J374" s="148">
        <v>4523.8818902795601</v>
      </c>
      <c r="K374" s="148">
        <v>-231.53857428543699</v>
      </c>
      <c r="L374" s="148">
        <v>-1034.47741813841</v>
      </c>
      <c r="M374" s="148">
        <v>3603.1066959344798</v>
      </c>
      <c r="N374" s="148"/>
      <c r="O374" s="148">
        <v>-4678.3947654325802</v>
      </c>
      <c r="P374" s="148">
        <v>-3133.7075337951601</v>
      </c>
      <c r="Q374" s="148">
        <v>4116.5573125383498</v>
      </c>
      <c r="R374" s="148">
        <v>212.893572889355</v>
      </c>
      <c r="S374" s="148">
        <v>-1557.46332192809</v>
      </c>
      <c r="T374" s="148">
        <v>3606.0002527572701</v>
      </c>
      <c r="U374" s="148">
        <v>-3066.52999044538</v>
      </c>
      <c r="V374" s="148">
        <v>-3297.8360875810199</v>
      </c>
      <c r="W374" s="148">
        <v>6191.9624798593004</v>
      </c>
      <c r="X374" s="148">
        <v>-327.863477020223</v>
      </c>
      <c r="Y374" s="148">
        <v>-1677.16037538507</v>
      </c>
      <c r="Z374" s="148">
        <v>3611.5418766512998</v>
      </c>
      <c r="AA374" s="148"/>
      <c r="AB374" s="148">
        <v>-5846.8894740306696</v>
      </c>
      <c r="AC374" s="148">
        <v>-4124.9728462264102</v>
      </c>
      <c r="AD374" s="148">
        <v>5619.5315690592097</v>
      </c>
      <c r="AE374" s="148">
        <v>2200.9263943667502</v>
      </c>
      <c r="AF374" s="148">
        <v>-1819.49046590577</v>
      </c>
      <c r="AG374" s="148">
        <v>3074.4992535521301</v>
      </c>
      <c r="AH374" s="148">
        <v>-3525.5896886663199</v>
      </c>
      <c r="AI374" s="148">
        <v>-4129.3768386720803</v>
      </c>
      <c r="AJ374" s="148">
        <v>5928.2184489663796</v>
      </c>
      <c r="AK374" s="148">
        <v>-245.44760411681199</v>
      </c>
      <c r="AL374" s="148">
        <v>-1671.1250946283301</v>
      </c>
      <c r="AM374" s="148">
        <v>4539.7153773547898</v>
      </c>
      <c r="AN374" s="148"/>
    </row>
    <row r="375" spans="1:40" ht="10.199999999999999" x14ac:dyDescent="0.2">
      <c r="A375" s="147" t="s">
        <v>777</v>
      </c>
      <c r="B375" s="148">
        <v>0</v>
      </c>
      <c r="C375" s="148">
        <v>0</v>
      </c>
      <c r="D375" s="148">
        <v>0</v>
      </c>
      <c r="E375" s="148">
        <v>0</v>
      </c>
      <c r="F375" s="148">
        <v>0</v>
      </c>
      <c r="G375" s="148">
        <v>0</v>
      </c>
      <c r="H375" s="148">
        <v>0</v>
      </c>
      <c r="I375" s="148">
        <v>0</v>
      </c>
      <c r="J375" s="148">
        <v>0</v>
      </c>
      <c r="K375" s="148">
        <v>0</v>
      </c>
      <c r="L375" s="148">
        <v>0</v>
      </c>
      <c r="M375" s="148">
        <v>0</v>
      </c>
      <c r="N375" s="148"/>
      <c r="O375" s="148">
        <v>0</v>
      </c>
      <c r="P375" s="148">
        <v>0</v>
      </c>
      <c r="Q375" s="148">
        <v>0</v>
      </c>
      <c r="R375" s="148">
        <v>0</v>
      </c>
      <c r="S375" s="148">
        <v>0</v>
      </c>
      <c r="T375" s="148">
        <v>0</v>
      </c>
      <c r="U375" s="148">
        <v>0</v>
      </c>
      <c r="V375" s="148">
        <v>0</v>
      </c>
      <c r="W375" s="148">
        <v>0</v>
      </c>
      <c r="X375" s="148">
        <v>0</v>
      </c>
      <c r="Y375" s="148">
        <v>0</v>
      </c>
      <c r="Z375" s="148">
        <v>0</v>
      </c>
      <c r="AA375" s="148"/>
      <c r="AB375" s="148">
        <v>0</v>
      </c>
      <c r="AC375" s="148">
        <v>0</v>
      </c>
      <c r="AD375" s="148">
        <v>0</v>
      </c>
      <c r="AE375" s="148">
        <v>0</v>
      </c>
      <c r="AF375" s="148">
        <v>0</v>
      </c>
      <c r="AG375" s="148">
        <v>0</v>
      </c>
      <c r="AH375" s="148">
        <v>0</v>
      </c>
      <c r="AI375" s="148">
        <v>0</v>
      </c>
      <c r="AJ375" s="148">
        <v>0</v>
      </c>
      <c r="AK375" s="148">
        <v>0</v>
      </c>
      <c r="AL375" s="148">
        <v>0</v>
      </c>
      <c r="AM375" s="148">
        <v>0</v>
      </c>
      <c r="AN375" s="148"/>
    </row>
    <row r="376" spans="1:40" ht="10.199999999999999" x14ac:dyDescent="0.2">
      <c r="A376" s="147" t="s">
        <v>778</v>
      </c>
      <c r="B376" s="148">
        <v>0</v>
      </c>
      <c r="C376" s="148">
        <v>0</v>
      </c>
      <c r="D376" s="148">
        <v>0</v>
      </c>
      <c r="E376" s="148">
        <v>0</v>
      </c>
      <c r="F376" s="148">
        <v>0</v>
      </c>
      <c r="G376" s="148">
        <v>0</v>
      </c>
      <c r="H376" s="148">
        <v>0</v>
      </c>
      <c r="I376" s="148">
        <v>0</v>
      </c>
      <c r="J376" s="148">
        <v>0</v>
      </c>
      <c r="K376" s="148">
        <v>0</v>
      </c>
      <c r="L376" s="148">
        <v>0</v>
      </c>
      <c r="M376" s="148">
        <v>0</v>
      </c>
      <c r="N376" s="148"/>
      <c r="O376" s="148">
        <v>0</v>
      </c>
      <c r="P376" s="148">
        <v>0</v>
      </c>
      <c r="Q376" s="148">
        <v>0</v>
      </c>
      <c r="R376" s="148">
        <v>0</v>
      </c>
      <c r="S376" s="148">
        <v>0</v>
      </c>
      <c r="T376" s="148">
        <v>0</v>
      </c>
      <c r="U376" s="148">
        <v>0</v>
      </c>
      <c r="V376" s="148">
        <v>0</v>
      </c>
      <c r="W376" s="148">
        <v>0</v>
      </c>
      <c r="X376" s="148">
        <v>0</v>
      </c>
      <c r="Y376" s="148">
        <v>0</v>
      </c>
      <c r="Z376" s="148">
        <v>0</v>
      </c>
      <c r="AA376" s="148"/>
      <c r="AB376" s="148">
        <v>0</v>
      </c>
      <c r="AC376" s="148">
        <v>0</v>
      </c>
      <c r="AD376" s="148">
        <v>0</v>
      </c>
      <c r="AE376" s="148">
        <v>0</v>
      </c>
      <c r="AF376" s="148">
        <v>0</v>
      </c>
      <c r="AG376" s="148">
        <v>0</v>
      </c>
      <c r="AH376" s="148">
        <v>0</v>
      </c>
      <c r="AI376" s="148">
        <v>0</v>
      </c>
      <c r="AJ376" s="148">
        <v>0</v>
      </c>
      <c r="AK376" s="148">
        <v>0</v>
      </c>
      <c r="AL376" s="148">
        <v>0</v>
      </c>
      <c r="AM376" s="148">
        <v>0</v>
      </c>
      <c r="AN376" s="148"/>
    </row>
    <row r="377" spans="1:40" ht="10.199999999999999" x14ac:dyDescent="0.2">
      <c r="A377" s="147" t="s">
        <v>779</v>
      </c>
      <c r="B377" s="148">
        <v>0</v>
      </c>
      <c r="C377" s="148">
        <v>0</v>
      </c>
      <c r="D377" s="148">
        <v>0</v>
      </c>
      <c r="E377" s="148">
        <v>0</v>
      </c>
      <c r="F377" s="148">
        <v>0</v>
      </c>
      <c r="G377" s="148">
        <v>0</v>
      </c>
      <c r="H377" s="148">
        <v>0</v>
      </c>
      <c r="I377" s="148">
        <v>0</v>
      </c>
      <c r="J377" s="148">
        <v>0</v>
      </c>
      <c r="K377" s="148">
        <v>0</v>
      </c>
      <c r="L377" s="148">
        <v>0</v>
      </c>
      <c r="M377" s="148">
        <v>0</v>
      </c>
      <c r="N377" s="148"/>
      <c r="O377" s="148">
        <v>0</v>
      </c>
      <c r="P377" s="148">
        <v>0</v>
      </c>
      <c r="Q377" s="148">
        <v>0</v>
      </c>
      <c r="R377" s="148">
        <v>0</v>
      </c>
      <c r="S377" s="148">
        <v>0</v>
      </c>
      <c r="T377" s="148">
        <v>0</v>
      </c>
      <c r="U377" s="148">
        <v>0</v>
      </c>
      <c r="V377" s="148">
        <v>0</v>
      </c>
      <c r="W377" s="148">
        <v>0</v>
      </c>
      <c r="X377" s="148">
        <v>0</v>
      </c>
      <c r="Y377" s="148">
        <v>0</v>
      </c>
      <c r="Z377" s="148">
        <v>0</v>
      </c>
      <c r="AA377" s="148"/>
      <c r="AB377" s="148">
        <v>0</v>
      </c>
      <c r="AC377" s="148">
        <v>0</v>
      </c>
      <c r="AD377" s="148">
        <v>0</v>
      </c>
      <c r="AE377" s="148">
        <v>0</v>
      </c>
      <c r="AF377" s="148">
        <v>0</v>
      </c>
      <c r="AG377" s="148">
        <v>0</v>
      </c>
      <c r="AH377" s="148">
        <v>0</v>
      </c>
      <c r="AI377" s="148">
        <v>0</v>
      </c>
      <c r="AJ377" s="148">
        <v>0</v>
      </c>
      <c r="AK377" s="148">
        <v>0</v>
      </c>
      <c r="AL377" s="148">
        <v>0</v>
      </c>
      <c r="AM377" s="148">
        <v>0</v>
      </c>
      <c r="AN377" s="148"/>
    </row>
    <row r="378" spans="1:40" ht="10.199999999999999" x14ac:dyDescent="0.2">
      <c r="A378" s="147" t="s">
        <v>780</v>
      </c>
      <c r="B378" s="148">
        <v>0</v>
      </c>
      <c r="C378" s="148">
        <v>0</v>
      </c>
      <c r="D378" s="148">
        <v>0</v>
      </c>
      <c r="E378" s="148">
        <v>0</v>
      </c>
      <c r="F378" s="148">
        <v>0</v>
      </c>
      <c r="G378" s="148">
        <v>0</v>
      </c>
      <c r="H378" s="148">
        <v>0</v>
      </c>
      <c r="I378" s="148">
        <v>0</v>
      </c>
      <c r="J378" s="148">
        <v>0</v>
      </c>
      <c r="K378" s="148">
        <v>0</v>
      </c>
      <c r="L378" s="148">
        <v>0</v>
      </c>
      <c r="M378" s="148">
        <v>0</v>
      </c>
      <c r="N378" s="148"/>
      <c r="O378" s="148">
        <v>0</v>
      </c>
      <c r="P378" s="148">
        <v>0</v>
      </c>
      <c r="Q378" s="148">
        <v>0</v>
      </c>
      <c r="R378" s="148">
        <v>0</v>
      </c>
      <c r="S378" s="148">
        <v>0</v>
      </c>
      <c r="T378" s="148">
        <v>0</v>
      </c>
      <c r="U378" s="148">
        <v>0</v>
      </c>
      <c r="V378" s="148">
        <v>0</v>
      </c>
      <c r="W378" s="148">
        <v>0</v>
      </c>
      <c r="X378" s="148">
        <v>0</v>
      </c>
      <c r="Y378" s="148">
        <v>0</v>
      </c>
      <c r="Z378" s="148">
        <v>0</v>
      </c>
      <c r="AA378" s="148"/>
      <c r="AB378" s="148">
        <v>0</v>
      </c>
      <c r="AC378" s="148">
        <v>0</v>
      </c>
      <c r="AD378" s="148">
        <v>0</v>
      </c>
      <c r="AE378" s="148">
        <v>0</v>
      </c>
      <c r="AF378" s="148">
        <v>0</v>
      </c>
      <c r="AG378" s="148">
        <v>0</v>
      </c>
      <c r="AH378" s="148">
        <v>0</v>
      </c>
      <c r="AI378" s="148">
        <v>0</v>
      </c>
      <c r="AJ378" s="148">
        <v>0</v>
      </c>
      <c r="AK378" s="148">
        <v>0</v>
      </c>
      <c r="AL378" s="148">
        <v>0</v>
      </c>
      <c r="AM378" s="148">
        <v>0</v>
      </c>
      <c r="AN378" s="148"/>
    </row>
    <row r="379" spans="1:40" ht="10.199999999999999" x14ac:dyDescent="0.2">
      <c r="A379" s="147" t="s">
        <v>781</v>
      </c>
      <c r="B379" s="148">
        <v>0</v>
      </c>
      <c r="C379" s="148">
        <v>0</v>
      </c>
      <c r="D379" s="148">
        <v>0</v>
      </c>
      <c r="E379" s="148">
        <v>0</v>
      </c>
      <c r="F379" s="148">
        <v>0</v>
      </c>
      <c r="G379" s="148">
        <v>0</v>
      </c>
      <c r="H379" s="148">
        <v>0</v>
      </c>
      <c r="I379" s="148">
        <v>0</v>
      </c>
      <c r="J379" s="148">
        <v>0</v>
      </c>
      <c r="K379" s="148">
        <v>0</v>
      </c>
      <c r="L379" s="148">
        <v>0</v>
      </c>
      <c r="M379" s="148">
        <v>0</v>
      </c>
      <c r="N379" s="148"/>
      <c r="O379" s="148">
        <v>0</v>
      </c>
      <c r="P379" s="148">
        <v>0</v>
      </c>
      <c r="Q379" s="148">
        <v>0</v>
      </c>
      <c r="R379" s="148">
        <v>0</v>
      </c>
      <c r="S379" s="148">
        <v>0</v>
      </c>
      <c r="T379" s="148">
        <v>0</v>
      </c>
      <c r="U379" s="148">
        <v>0</v>
      </c>
      <c r="V379" s="148">
        <v>0</v>
      </c>
      <c r="W379" s="148">
        <v>0</v>
      </c>
      <c r="X379" s="148">
        <v>0</v>
      </c>
      <c r="Y379" s="148">
        <v>0</v>
      </c>
      <c r="Z379" s="148">
        <v>0</v>
      </c>
      <c r="AA379" s="148"/>
      <c r="AB379" s="148">
        <v>0</v>
      </c>
      <c r="AC379" s="148">
        <v>0</v>
      </c>
      <c r="AD379" s="148">
        <v>0</v>
      </c>
      <c r="AE379" s="148">
        <v>0</v>
      </c>
      <c r="AF379" s="148">
        <v>0</v>
      </c>
      <c r="AG379" s="148">
        <v>0</v>
      </c>
      <c r="AH379" s="148">
        <v>0</v>
      </c>
      <c r="AI379" s="148">
        <v>0</v>
      </c>
      <c r="AJ379" s="148">
        <v>0</v>
      </c>
      <c r="AK379" s="148">
        <v>0</v>
      </c>
      <c r="AL379" s="148">
        <v>0</v>
      </c>
      <c r="AM379" s="148">
        <v>0</v>
      </c>
      <c r="AN379" s="148"/>
    </row>
    <row r="380" spans="1:40" ht="10.199999999999999" x14ac:dyDescent="0.2">
      <c r="A380" s="147" t="s">
        <v>782</v>
      </c>
      <c r="B380" s="148">
        <v>0</v>
      </c>
      <c r="C380" s="148">
        <v>0</v>
      </c>
      <c r="D380" s="148">
        <v>0</v>
      </c>
      <c r="E380" s="148">
        <v>0</v>
      </c>
      <c r="F380" s="148">
        <v>0</v>
      </c>
      <c r="G380" s="148">
        <v>0</v>
      </c>
      <c r="H380" s="148">
        <v>0</v>
      </c>
      <c r="I380" s="148">
        <v>0</v>
      </c>
      <c r="J380" s="148">
        <v>0</v>
      </c>
      <c r="K380" s="148">
        <v>0</v>
      </c>
      <c r="L380" s="148">
        <v>0</v>
      </c>
      <c r="M380" s="148">
        <v>0</v>
      </c>
      <c r="N380" s="148"/>
      <c r="O380" s="148">
        <v>0</v>
      </c>
      <c r="P380" s="148">
        <v>0</v>
      </c>
      <c r="Q380" s="148">
        <v>0</v>
      </c>
      <c r="R380" s="148">
        <v>0</v>
      </c>
      <c r="S380" s="148">
        <v>0</v>
      </c>
      <c r="T380" s="148">
        <v>0</v>
      </c>
      <c r="U380" s="148">
        <v>0</v>
      </c>
      <c r="V380" s="148">
        <v>0</v>
      </c>
      <c r="W380" s="148">
        <v>0</v>
      </c>
      <c r="X380" s="148">
        <v>0</v>
      </c>
      <c r="Y380" s="148">
        <v>0</v>
      </c>
      <c r="Z380" s="148">
        <v>0</v>
      </c>
      <c r="AA380" s="148"/>
      <c r="AB380" s="148">
        <v>0</v>
      </c>
      <c r="AC380" s="148">
        <v>0</v>
      </c>
      <c r="AD380" s="148">
        <v>0</v>
      </c>
      <c r="AE380" s="148">
        <v>0</v>
      </c>
      <c r="AF380" s="148">
        <v>0</v>
      </c>
      <c r="AG380" s="148">
        <v>0</v>
      </c>
      <c r="AH380" s="148">
        <v>0</v>
      </c>
      <c r="AI380" s="148">
        <v>0</v>
      </c>
      <c r="AJ380" s="148">
        <v>0</v>
      </c>
      <c r="AK380" s="148">
        <v>0</v>
      </c>
      <c r="AL380" s="148">
        <v>0</v>
      </c>
      <c r="AM380" s="148">
        <v>0</v>
      </c>
      <c r="AN380" s="148"/>
    </row>
    <row r="381" spans="1:40" ht="10.199999999999999" x14ac:dyDescent="0.2">
      <c r="A381" s="147" t="s">
        <v>783</v>
      </c>
      <c r="B381" s="148">
        <v>0</v>
      </c>
      <c r="C381" s="148">
        <v>0</v>
      </c>
      <c r="D381" s="148">
        <v>0</v>
      </c>
      <c r="E381" s="148">
        <v>0</v>
      </c>
      <c r="F381" s="148">
        <v>0</v>
      </c>
      <c r="G381" s="148">
        <v>0</v>
      </c>
      <c r="H381" s="148">
        <v>0</v>
      </c>
      <c r="I381" s="148">
        <v>0</v>
      </c>
      <c r="J381" s="148">
        <v>0</v>
      </c>
      <c r="K381" s="148">
        <v>0</v>
      </c>
      <c r="L381" s="148">
        <v>0</v>
      </c>
      <c r="M381" s="148">
        <v>0</v>
      </c>
      <c r="N381" s="148"/>
      <c r="O381" s="148">
        <v>0</v>
      </c>
      <c r="P381" s="148">
        <v>0</v>
      </c>
      <c r="Q381" s="148">
        <v>0</v>
      </c>
      <c r="R381" s="148">
        <v>0</v>
      </c>
      <c r="S381" s="148">
        <v>0</v>
      </c>
      <c r="T381" s="148">
        <v>0</v>
      </c>
      <c r="U381" s="148">
        <v>0</v>
      </c>
      <c r="V381" s="148">
        <v>0</v>
      </c>
      <c r="W381" s="148">
        <v>0</v>
      </c>
      <c r="X381" s="148">
        <v>0</v>
      </c>
      <c r="Y381" s="148">
        <v>0</v>
      </c>
      <c r="Z381" s="148">
        <v>0</v>
      </c>
      <c r="AA381" s="148"/>
      <c r="AB381" s="148">
        <v>0</v>
      </c>
      <c r="AC381" s="148">
        <v>0</v>
      </c>
      <c r="AD381" s="148">
        <v>0</v>
      </c>
      <c r="AE381" s="148">
        <v>0</v>
      </c>
      <c r="AF381" s="148">
        <v>0</v>
      </c>
      <c r="AG381" s="148">
        <v>0</v>
      </c>
      <c r="AH381" s="148">
        <v>0</v>
      </c>
      <c r="AI381" s="148">
        <v>0</v>
      </c>
      <c r="AJ381" s="148">
        <v>0</v>
      </c>
      <c r="AK381" s="148">
        <v>0</v>
      </c>
      <c r="AL381" s="148">
        <v>0</v>
      </c>
      <c r="AM381" s="148">
        <v>0</v>
      </c>
      <c r="AN381" s="148"/>
    </row>
    <row r="382" spans="1:40" ht="14.4" x14ac:dyDescent="0.3">
      <c r="A382" s="147" t="s">
        <v>784</v>
      </c>
      <c r="B382" s="148">
        <v>0</v>
      </c>
      <c r="C382" s="148">
        <v>0</v>
      </c>
      <c r="D382" s="148">
        <v>0</v>
      </c>
      <c r="E382" s="148">
        <v>0</v>
      </c>
      <c r="F382" s="148">
        <v>0</v>
      </c>
      <c r="G382" s="148">
        <v>0</v>
      </c>
      <c r="H382" s="148">
        <v>0</v>
      </c>
      <c r="I382" s="148">
        <v>0</v>
      </c>
      <c r="J382" s="148">
        <v>0</v>
      </c>
      <c r="K382" s="148">
        <v>0</v>
      </c>
      <c r="L382" s="148">
        <v>0</v>
      </c>
      <c r="M382" s="148">
        <v>0</v>
      </c>
      <c r="N382" s="10"/>
      <c r="O382" s="148">
        <v>0</v>
      </c>
      <c r="P382" s="148">
        <v>0</v>
      </c>
      <c r="Q382" s="148">
        <v>0</v>
      </c>
      <c r="R382" s="148">
        <v>0</v>
      </c>
      <c r="S382" s="148">
        <v>0</v>
      </c>
      <c r="T382" s="148">
        <v>0</v>
      </c>
      <c r="U382" s="148">
        <v>0</v>
      </c>
      <c r="V382" s="148">
        <v>0</v>
      </c>
      <c r="W382" s="148">
        <v>0</v>
      </c>
      <c r="X382" s="148">
        <v>0</v>
      </c>
      <c r="Y382" s="148">
        <v>0</v>
      </c>
      <c r="Z382" s="148">
        <v>0</v>
      </c>
      <c r="AA382" s="10"/>
      <c r="AB382" s="148">
        <v>0</v>
      </c>
      <c r="AC382" s="148">
        <v>0</v>
      </c>
      <c r="AD382" s="148">
        <v>0</v>
      </c>
      <c r="AE382" s="148">
        <v>0</v>
      </c>
      <c r="AF382" s="148">
        <v>0</v>
      </c>
      <c r="AG382" s="148">
        <v>0</v>
      </c>
      <c r="AH382" s="148">
        <v>0</v>
      </c>
      <c r="AI382" s="148">
        <v>0</v>
      </c>
      <c r="AJ382" s="148">
        <v>0</v>
      </c>
      <c r="AK382" s="148">
        <v>0</v>
      </c>
      <c r="AL382" s="148">
        <v>0</v>
      </c>
      <c r="AM382" s="148">
        <v>0</v>
      </c>
      <c r="AN382" s="10"/>
    </row>
    <row r="383" spans="1:40" ht="14.4" x14ac:dyDescent="0.3">
      <c r="A383" s="147" t="s">
        <v>785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48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48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48"/>
    </row>
    <row r="384" spans="1:40" ht="10.199999999999999" x14ac:dyDescent="0.2">
      <c r="A384" s="147" t="s">
        <v>786</v>
      </c>
      <c r="B384" s="148">
        <v>202004</v>
      </c>
      <c r="C384" s="148">
        <v>202004</v>
      </c>
      <c r="D384" s="148">
        <v>202004</v>
      </c>
      <c r="E384" s="148">
        <v>202004</v>
      </c>
      <c r="F384" s="148">
        <v>202004</v>
      </c>
      <c r="G384" s="148">
        <v>202004</v>
      </c>
      <c r="H384" s="148">
        <v>202004</v>
      </c>
      <c r="I384" s="148">
        <v>202004</v>
      </c>
      <c r="J384" s="148">
        <v>202004</v>
      </c>
      <c r="K384" s="148">
        <v>202004</v>
      </c>
      <c r="L384" s="148">
        <v>202004</v>
      </c>
      <c r="M384" s="148">
        <v>202004</v>
      </c>
      <c r="N384" s="148"/>
      <c r="O384" s="148">
        <v>202004</v>
      </c>
      <c r="P384" s="148">
        <v>202004</v>
      </c>
      <c r="Q384" s="148">
        <v>202004</v>
      </c>
      <c r="R384" s="148">
        <v>202004</v>
      </c>
      <c r="S384" s="148">
        <v>202004</v>
      </c>
      <c r="T384" s="148">
        <v>202004</v>
      </c>
      <c r="U384" s="148">
        <v>202004</v>
      </c>
      <c r="V384" s="148">
        <v>202004</v>
      </c>
      <c r="W384" s="148">
        <v>202004</v>
      </c>
      <c r="X384" s="148">
        <v>202004</v>
      </c>
      <c r="Y384" s="148">
        <v>202004</v>
      </c>
      <c r="Z384" s="148">
        <v>202004</v>
      </c>
      <c r="AA384" s="148"/>
      <c r="AB384" s="148">
        <v>202004</v>
      </c>
      <c r="AC384" s="148">
        <v>202004</v>
      </c>
      <c r="AD384" s="148">
        <v>202004</v>
      </c>
      <c r="AE384" s="148">
        <v>202004</v>
      </c>
      <c r="AF384" s="148">
        <v>202004</v>
      </c>
      <c r="AG384" s="148">
        <v>202004</v>
      </c>
      <c r="AH384" s="148">
        <v>202004</v>
      </c>
      <c r="AI384" s="148">
        <v>202004</v>
      </c>
      <c r="AJ384" s="148">
        <v>202004</v>
      </c>
      <c r="AK384" s="148">
        <v>202004</v>
      </c>
      <c r="AL384" s="148">
        <v>202004</v>
      </c>
      <c r="AM384" s="148">
        <v>202004</v>
      </c>
      <c r="AN384" s="148"/>
    </row>
    <row r="385" spans="1:40" ht="10.199999999999999" x14ac:dyDescent="0.2">
      <c r="A385" s="147" t="s">
        <v>787</v>
      </c>
      <c r="B385" s="148">
        <v>202005</v>
      </c>
      <c r="C385" s="148">
        <v>202005</v>
      </c>
      <c r="D385" s="148">
        <v>202005</v>
      </c>
      <c r="E385" s="148">
        <v>202005</v>
      </c>
      <c r="F385" s="148">
        <v>202005</v>
      </c>
      <c r="G385" s="148">
        <v>202005</v>
      </c>
      <c r="H385" s="148">
        <v>202005</v>
      </c>
      <c r="I385" s="148">
        <v>202005</v>
      </c>
      <c r="J385" s="148">
        <v>202005</v>
      </c>
      <c r="K385" s="148">
        <v>202005</v>
      </c>
      <c r="L385" s="148">
        <v>202005</v>
      </c>
      <c r="M385" s="148">
        <v>202005</v>
      </c>
      <c r="N385" s="148"/>
      <c r="O385" s="148">
        <v>202005</v>
      </c>
      <c r="P385" s="148">
        <v>202005</v>
      </c>
      <c r="Q385" s="148">
        <v>202005</v>
      </c>
      <c r="R385" s="148">
        <v>202005</v>
      </c>
      <c r="S385" s="148">
        <v>202005</v>
      </c>
      <c r="T385" s="148">
        <v>202005</v>
      </c>
      <c r="U385" s="148">
        <v>202005</v>
      </c>
      <c r="V385" s="148">
        <v>202005</v>
      </c>
      <c r="W385" s="148">
        <v>202005</v>
      </c>
      <c r="X385" s="148">
        <v>202005</v>
      </c>
      <c r="Y385" s="148">
        <v>202005</v>
      </c>
      <c r="Z385" s="148">
        <v>202005</v>
      </c>
      <c r="AA385" s="148"/>
      <c r="AB385" s="148">
        <v>202005</v>
      </c>
      <c r="AC385" s="148">
        <v>202005</v>
      </c>
      <c r="AD385" s="148">
        <v>202005</v>
      </c>
      <c r="AE385" s="148">
        <v>202005</v>
      </c>
      <c r="AF385" s="148">
        <v>202005</v>
      </c>
      <c r="AG385" s="148">
        <v>202005</v>
      </c>
      <c r="AH385" s="148">
        <v>202005</v>
      </c>
      <c r="AI385" s="148">
        <v>202005</v>
      </c>
      <c r="AJ385" s="148">
        <v>202005</v>
      </c>
      <c r="AK385" s="148">
        <v>202005</v>
      </c>
      <c r="AL385" s="148">
        <v>202005</v>
      </c>
      <c r="AM385" s="148">
        <v>202005</v>
      </c>
      <c r="AN385" s="148"/>
    </row>
    <row r="386" spans="1:40" ht="10.199999999999999" x14ac:dyDescent="0.2">
      <c r="A386" s="147" t="s">
        <v>788</v>
      </c>
      <c r="B386" s="148">
        <v>0</v>
      </c>
      <c r="C386" s="148">
        <v>0</v>
      </c>
      <c r="D386" s="148">
        <v>0</v>
      </c>
      <c r="E386" s="148">
        <v>0</v>
      </c>
      <c r="F386" s="148">
        <v>0</v>
      </c>
      <c r="G386" s="148">
        <v>0</v>
      </c>
      <c r="H386" s="148">
        <v>0</v>
      </c>
      <c r="I386" s="148">
        <v>0</v>
      </c>
      <c r="J386" s="148">
        <v>0</v>
      </c>
      <c r="K386" s="148">
        <v>0</v>
      </c>
      <c r="L386" s="148">
        <v>0</v>
      </c>
      <c r="M386" s="148">
        <v>0</v>
      </c>
      <c r="N386" s="148"/>
      <c r="O386" s="148">
        <v>0</v>
      </c>
      <c r="P386" s="148">
        <v>0</v>
      </c>
      <c r="Q386" s="148">
        <v>0</v>
      </c>
      <c r="R386" s="148">
        <v>0</v>
      </c>
      <c r="S386" s="148">
        <v>0</v>
      </c>
      <c r="T386" s="148">
        <v>0</v>
      </c>
      <c r="U386" s="148">
        <v>0</v>
      </c>
      <c r="V386" s="148">
        <v>0</v>
      </c>
      <c r="W386" s="148">
        <v>0</v>
      </c>
      <c r="X386" s="148">
        <v>0</v>
      </c>
      <c r="Y386" s="148">
        <v>0</v>
      </c>
      <c r="Z386" s="148">
        <v>0</v>
      </c>
      <c r="AA386" s="148"/>
      <c r="AB386" s="148">
        <v>0</v>
      </c>
      <c r="AC386" s="148">
        <v>0</v>
      </c>
      <c r="AD386" s="148">
        <v>0</v>
      </c>
      <c r="AE386" s="148">
        <v>1</v>
      </c>
      <c r="AF386" s="148">
        <v>0</v>
      </c>
      <c r="AG386" s="148">
        <v>0</v>
      </c>
      <c r="AH386" s="148">
        <v>0</v>
      </c>
      <c r="AI386" s="148">
        <v>0</v>
      </c>
      <c r="AJ386" s="148">
        <v>0</v>
      </c>
      <c r="AK386" s="148">
        <v>0</v>
      </c>
      <c r="AL386" s="148">
        <v>0</v>
      </c>
      <c r="AM386" s="148">
        <v>0</v>
      </c>
      <c r="AN386" s="148"/>
    </row>
    <row r="387" spans="1:40" ht="10.199999999999999" x14ac:dyDescent="0.2">
      <c r="A387" s="147" t="s">
        <v>789</v>
      </c>
      <c r="B387" s="148">
        <v>0</v>
      </c>
      <c r="C387" s="148">
        <v>0</v>
      </c>
      <c r="D387" s="148">
        <v>0</v>
      </c>
      <c r="E387" s="148">
        <v>0</v>
      </c>
      <c r="F387" s="148">
        <v>0</v>
      </c>
      <c r="G387" s="148">
        <v>0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8">
        <v>0</v>
      </c>
      <c r="N387" s="148"/>
      <c r="O387" s="148">
        <v>0</v>
      </c>
      <c r="P387" s="148">
        <v>0</v>
      </c>
      <c r="Q387" s="148">
        <v>0</v>
      </c>
      <c r="R387" s="148">
        <v>0</v>
      </c>
      <c r="S387" s="148">
        <v>0</v>
      </c>
      <c r="T387" s="148">
        <v>0</v>
      </c>
      <c r="U387" s="148">
        <v>0</v>
      </c>
      <c r="V387" s="148">
        <v>0</v>
      </c>
      <c r="W387" s="148">
        <v>0</v>
      </c>
      <c r="X387" s="148">
        <v>0</v>
      </c>
      <c r="Y387" s="148">
        <v>0</v>
      </c>
      <c r="Z387" s="148">
        <v>0</v>
      </c>
      <c r="AA387" s="148"/>
      <c r="AB387" s="148">
        <v>0</v>
      </c>
      <c r="AC387" s="148">
        <v>0</v>
      </c>
      <c r="AD387" s="148">
        <v>0</v>
      </c>
      <c r="AE387" s="148">
        <v>1</v>
      </c>
      <c r="AF387" s="148">
        <v>0</v>
      </c>
      <c r="AG387" s="148">
        <v>0</v>
      </c>
      <c r="AH387" s="148">
        <v>0</v>
      </c>
      <c r="AI387" s="148">
        <v>0</v>
      </c>
      <c r="AJ387" s="148">
        <v>0</v>
      </c>
      <c r="AK387" s="148">
        <v>0</v>
      </c>
      <c r="AL387" s="148">
        <v>0</v>
      </c>
      <c r="AM387" s="148">
        <v>0</v>
      </c>
      <c r="AN387" s="148"/>
    </row>
    <row r="388" spans="1:40" ht="10.199999999999999" x14ac:dyDescent="0.2">
      <c r="A388" s="147" t="s">
        <v>790</v>
      </c>
      <c r="B388" s="148">
        <v>0</v>
      </c>
      <c r="C388" s="148">
        <v>0</v>
      </c>
      <c r="D388" s="148">
        <v>0</v>
      </c>
      <c r="E388" s="148">
        <v>0</v>
      </c>
      <c r="F388" s="148">
        <v>0</v>
      </c>
      <c r="G388" s="148">
        <v>0</v>
      </c>
      <c r="H388" s="148">
        <v>0</v>
      </c>
      <c r="I388" s="148">
        <v>0</v>
      </c>
      <c r="J388" s="148">
        <v>0</v>
      </c>
      <c r="K388" s="148">
        <v>0</v>
      </c>
      <c r="L388" s="148">
        <v>0</v>
      </c>
      <c r="M388" s="148">
        <v>0</v>
      </c>
      <c r="N388" s="148"/>
      <c r="O388" s="148">
        <v>0</v>
      </c>
      <c r="P388" s="148">
        <v>0</v>
      </c>
      <c r="Q388" s="148">
        <v>0</v>
      </c>
      <c r="R388" s="148">
        <v>0</v>
      </c>
      <c r="S388" s="148">
        <v>0</v>
      </c>
      <c r="T388" s="148">
        <v>0</v>
      </c>
      <c r="U388" s="148">
        <v>0</v>
      </c>
      <c r="V388" s="148">
        <v>0</v>
      </c>
      <c r="W388" s="148">
        <v>0</v>
      </c>
      <c r="X388" s="148">
        <v>0</v>
      </c>
      <c r="Y388" s="148">
        <v>0</v>
      </c>
      <c r="Z388" s="148">
        <v>0</v>
      </c>
      <c r="AA388" s="148"/>
      <c r="AB388" s="148">
        <v>0</v>
      </c>
      <c r="AC388" s="148">
        <v>0</v>
      </c>
      <c r="AD388" s="148">
        <v>0</v>
      </c>
      <c r="AE388" s="148">
        <v>406.22058650877</v>
      </c>
      <c r="AF388" s="148">
        <v>0</v>
      </c>
      <c r="AG388" s="148">
        <v>0</v>
      </c>
      <c r="AH388" s="148">
        <v>0</v>
      </c>
      <c r="AI388" s="148">
        <v>0</v>
      </c>
      <c r="AJ388" s="148">
        <v>0</v>
      </c>
      <c r="AK388" s="148">
        <v>0</v>
      </c>
      <c r="AL388" s="148">
        <v>0</v>
      </c>
      <c r="AM388" s="148">
        <v>0</v>
      </c>
      <c r="AN388" s="148"/>
    </row>
    <row r="389" spans="1:40" ht="10.199999999999999" x14ac:dyDescent="0.2">
      <c r="A389" s="147" t="s">
        <v>791</v>
      </c>
      <c r="B389" s="148">
        <v>0</v>
      </c>
      <c r="C389" s="148">
        <v>0</v>
      </c>
      <c r="D389" s="148">
        <v>0</v>
      </c>
      <c r="E389" s="148">
        <v>0</v>
      </c>
      <c r="F389" s="148">
        <v>0</v>
      </c>
      <c r="G389" s="148">
        <v>0</v>
      </c>
      <c r="H389" s="148">
        <v>0</v>
      </c>
      <c r="I389" s="148">
        <v>0</v>
      </c>
      <c r="J389" s="148">
        <v>0</v>
      </c>
      <c r="K389" s="148">
        <v>0</v>
      </c>
      <c r="L389" s="148">
        <v>0</v>
      </c>
      <c r="M389" s="148">
        <v>0</v>
      </c>
      <c r="N389" s="148"/>
      <c r="O389" s="148">
        <v>0</v>
      </c>
      <c r="P389" s="148">
        <v>0</v>
      </c>
      <c r="Q389" s="148">
        <v>0</v>
      </c>
      <c r="R389" s="148">
        <v>0</v>
      </c>
      <c r="S389" s="148">
        <v>0</v>
      </c>
      <c r="T389" s="148">
        <v>0</v>
      </c>
      <c r="U389" s="148">
        <v>0</v>
      </c>
      <c r="V389" s="148">
        <v>0</v>
      </c>
      <c r="W389" s="148">
        <v>0</v>
      </c>
      <c r="X389" s="148">
        <v>0</v>
      </c>
      <c r="Y389" s="148">
        <v>0</v>
      </c>
      <c r="Z389" s="148">
        <v>0</v>
      </c>
      <c r="AA389" s="148"/>
      <c r="AB389" s="148">
        <v>0</v>
      </c>
      <c r="AC389" s="148">
        <v>0</v>
      </c>
      <c r="AD389" s="148">
        <v>0</v>
      </c>
      <c r="AE389" s="148">
        <v>0</v>
      </c>
      <c r="AF389" s="148">
        <v>0</v>
      </c>
      <c r="AG389" s="148">
        <v>0</v>
      </c>
      <c r="AH389" s="148">
        <v>0</v>
      </c>
      <c r="AI389" s="148">
        <v>0</v>
      </c>
      <c r="AJ389" s="148">
        <v>0</v>
      </c>
      <c r="AK389" s="148">
        <v>0</v>
      </c>
      <c r="AL389" s="148">
        <v>0</v>
      </c>
      <c r="AM389" s="148">
        <v>0</v>
      </c>
      <c r="AN389" s="148"/>
    </row>
    <row r="390" spans="1:40" ht="10.199999999999999" x14ac:dyDescent="0.2">
      <c r="A390" s="147" t="s">
        <v>792</v>
      </c>
      <c r="B390" s="148">
        <v>0</v>
      </c>
      <c r="C390" s="148">
        <v>0</v>
      </c>
      <c r="D390" s="148">
        <v>0</v>
      </c>
      <c r="E390" s="148">
        <v>0</v>
      </c>
      <c r="F390" s="148">
        <v>0</v>
      </c>
      <c r="G390" s="148">
        <v>0</v>
      </c>
      <c r="H390" s="148">
        <v>0</v>
      </c>
      <c r="I390" s="148">
        <v>0</v>
      </c>
      <c r="J390" s="148">
        <v>0</v>
      </c>
      <c r="K390" s="148">
        <v>0</v>
      </c>
      <c r="L390" s="148">
        <v>0</v>
      </c>
      <c r="M390" s="148">
        <v>0</v>
      </c>
      <c r="N390" s="148"/>
      <c r="O390" s="148">
        <v>0</v>
      </c>
      <c r="P390" s="148">
        <v>0</v>
      </c>
      <c r="Q390" s="148">
        <v>0</v>
      </c>
      <c r="R390" s="148">
        <v>0</v>
      </c>
      <c r="S390" s="148">
        <v>0</v>
      </c>
      <c r="T390" s="148">
        <v>0</v>
      </c>
      <c r="U390" s="148">
        <v>0</v>
      </c>
      <c r="V390" s="148">
        <v>0</v>
      </c>
      <c r="W390" s="148">
        <v>0</v>
      </c>
      <c r="X390" s="148">
        <v>0</v>
      </c>
      <c r="Y390" s="148">
        <v>0</v>
      </c>
      <c r="Z390" s="148">
        <v>0</v>
      </c>
      <c r="AA390" s="148"/>
      <c r="AB390" s="148">
        <v>0</v>
      </c>
      <c r="AC390" s="148">
        <v>0</v>
      </c>
      <c r="AD390" s="148">
        <v>0</v>
      </c>
      <c r="AE390" s="148">
        <v>0</v>
      </c>
      <c r="AF390" s="148">
        <v>0</v>
      </c>
      <c r="AG390" s="148">
        <v>0</v>
      </c>
      <c r="AH390" s="148">
        <v>0</v>
      </c>
      <c r="AI390" s="148">
        <v>0</v>
      </c>
      <c r="AJ390" s="148">
        <v>0</v>
      </c>
      <c r="AK390" s="148">
        <v>0</v>
      </c>
      <c r="AL390" s="148">
        <v>0</v>
      </c>
      <c r="AM390" s="148">
        <v>0</v>
      </c>
      <c r="AN390" s="148"/>
    </row>
    <row r="391" spans="1:40" ht="10.199999999999999" x14ac:dyDescent="0.2">
      <c r="A391" s="147" t="s">
        <v>793</v>
      </c>
      <c r="B391" s="148">
        <v>0</v>
      </c>
      <c r="C391" s="148">
        <v>0</v>
      </c>
      <c r="D391" s="148">
        <v>0</v>
      </c>
      <c r="E391" s="148">
        <v>0</v>
      </c>
      <c r="F391" s="148">
        <v>0</v>
      </c>
      <c r="G391" s="148">
        <v>0</v>
      </c>
      <c r="H391" s="148">
        <v>0</v>
      </c>
      <c r="I391" s="148">
        <v>0</v>
      </c>
      <c r="J391" s="148">
        <v>0</v>
      </c>
      <c r="K391" s="148">
        <v>0</v>
      </c>
      <c r="L391" s="148">
        <v>0</v>
      </c>
      <c r="M391" s="148">
        <v>0</v>
      </c>
      <c r="N391" s="148"/>
      <c r="O391" s="148">
        <v>0</v>
      </c>
      <c r="P391" s="148">
        <v>0</v>
      </c>
      <c r="Q391" s="148">
        <v>0</v>
      </c>
      <c r="R391" s="148">
        <v>0</v>
      </c>
      <c r="S391" s="148">
        <v>0</v>
      </c>
      <c r="T391" s="148">
        <v>0</v>
      </c>
      <c r="U391" s="148">
        <v>0</v>
      </c>
      <c r="V391" s="148">
        <v>0</v>
      </c>
      <c r="W391" s="148">
        <v>0</v>
      </c>
      <c r="X391" s="148">
        <v>0</v>
      </c>
      <c r="Y391" s="148">
        <v>0</v>
      </c>
      <c r="Z391" s="148">
        <v>0</v>
      </c>
      <c r="AA391" s="148"/>
      <c r="AB391" s="148">
        <v>0</v>
      </c>
      <c r="AC391" s="148">
        <v>0</v>
      </c>
      <c r="AD391" s="148">
        <v>0</v>
      </c>
      <c r="AE391" s="148">
        <v>0</v>
      </c>
      <c r="AF391" s="148">
        <v>1</v>
      </c>
      <c r="AG391" s="148">
        <v>0</v>
      </c>
      <c r="AH391" s="148">
        <v>0</v>
      </c>
      <c r="AI391" s="148">
        <v>0</v>
      </c>
      <c r="AJ391" s="148">
        <v>0</v>
      </c>
      <c r="AK391" s="148">
        <v>0</v>
      </c>
      <c r="AL391" s="148">
        <v>0</v>
      </c>
      <c r="AM391" s="148">
        <v>0</v>
      </c>
      <c r="AN391" s="148"/>
    </row>
    <row r="392" spans="1:40" ht="10.199999999999999" x14ac:dyDescent="0.2">
      <c r="A392" s="147" t="s">
        <v>794</v>
      </c>
      <c r="B392" s="148">
        <v>0</v>
      </c>
      <c r="C392" s="148">
        <v>0</v>
      </c>
      <c r="D392" s="148">
        <v>0</v>
      </c>
      <c r="E392" s="148">
        <v>0</v>
      </c>
      <c r="F392" s="148">
        <v>0</v>
      </c>
      <c r="G392" s="148">
        <v>0</v>
      </c>
      <c r="H392" s="148">
        <v>0</v>
      </c>
      <c r="I392" s="148">
        <v>0</v>
      </c>
      <c r="J392" s="148">
        <v>0</v>
      </c>
      <c r="K392" s="148">
        <v>0</v>
      </c>
      <c r="L392" s="148">
        <v>0</v>
      </c>
      <c r="M392" s="148">
        <v>0</v>
      </c>
      <c r="N392" s="148"/>
      <c r="O392" s="148">
        <v>0</v>
      </c>
      <c r="P392" s="148">
        <v>0</v>
      </c>
      <c r="Q392" s="148">
        <v>0</v>
      </c>
      <c r="R392" s="148">
        <v>0</v>
      </c>
      <c r="S392" s="148">
        <v>0</v>
      </c>
      <c r="T392" s="148">
        <v>0</v>
      </c>
      <c r="U392" s="148">
        <v>0</v>
      </c>
      <c r="V392" s="148">
        <v>0</v>
      </c>
      <c r="W392" s="148">
        <v>0</v>
      </c>
      <c r="X392" s="148">
        <v>0</v>
      </c>
      <c r="Y392" s="148">
        <v>0</v>
      </c>
      <c r="Z392" s="148">
        <v>0</v>
      </c>
      <c r="AA392" s="148"/>
      <c r="AB392" s="148">
        <v>0</v>
      </c>
      <c r="AC392" s="148">
        <v>0</v>
      </c>
      <c r="AD392" s="148">
        <v>0</v>
      </c>
      <c r="AE392" s="148">
        <v>0</v>
      </c>
      <c r="AF392" s="148">
        <v>-406.22058650877</v>
      </c>
      <c r="AG392" s="148">
        <v>0</v>
      </c>
      <c r="AH392" s="148">
        <v>0</v>
      </c>
      <c r="AI392" s="148">
        <v>0</v>
      </c>
      <c r="AJ392" s="148">
        <v>0</v>
      </c>
      <c r="AK392" s="148">
        <v>0</v>
      </c>
      <c r="AL392" s="148">
        <v>0</v>
      </c>
      <c r="AM392" s="148">
        <v>0</v>
      </c>
      <c r="AN392" s="148"/>
    </row>
    <row r="393" spans="1:40" ht="10.199999999999999" x14ac:dyDescent="0.2">
      <c r="A393" s="147" t="s">
        <v>795</v>
      </c>
      <c r="B393" s="148">
        <v>0</v>
      </c>
      <c r="C393" s="148">
        <v>0</v>
      </c>
      <c r="D393" s="148">
        <v>0</v>
      </c>
      <c r="E393" s="148">
        <v>0</v>
      </c>
      <c r="F393" s="148">
        <v>0</v>
      </c>
      <c r="G393" s="148">
        <v>0</v>
      </c>
      <c r="H393" s="148">
        <v>0</v>
      </c>
      <c r="I393" s="148">
        <v>0</v>
      </c>
      <c r="J393" s="148">
        <v>0</v>
      </c>
      <c r="K393" s="148">
        <v>0</v>
      </c>
      <c r="L393" s="148">
        <v>0</v>
      </c>
      <c r="M393" s="148">
        <v>0</v>
      </c>
      <c r="N393" s="148"/>
      <c r="O393" s="148">
        <v>0</v>
      </c>
      <c r="P393" s="148">
        <v>0</v>
      </c>
      <c r="Q393" s="148">
        <v>0</v>
      </c>
      <c r="R393" s="148">
        <v>0</v>
      </c>
      <c r="S393" s="148">
        <v>0</v>
      </c>
      <c r="T393" s="148">
        <v>0</v>
      </c>
      <c r="U393" s="148">
        <v>0</v>
      </c>
      <c r="V393" s="148">
        <v>0</v>
      </c>
      <c r="W393" s="148">
        <v>0</v>
      </c>
      <c r="X393" s="148">
        <v>0</v>
      </c>
      <c r="Y393" s="148">
        <v>0</v>
      </c>
      <c r="Z393" s="148">
        <v>0</v>
      </c>
      <c r="AA393" s="148"/>
      <c r="AB393" s="148">
        <v>0</v>
      </c>
      <c r="AC393" s="148">
        <v>0</v>
      </c>
      <c r="AD393" s="148">
        <v>0</v>
      </c>
      <c r="AE393" s="148">
        <v>0</v>
      </c>
      <c r="AF393" s="148">
        <v>0</v>
      </c>
      <c r="AG393" s="148">
        <v>0</v>
      </c>
      <c r="AH393" s="148">
        <v>0</v>
      </c>
      <c r="AI393" s="148">
        <v>0</v>
      </c>
      <c r="AJ393" s="148">
        <v>0</v>
      </c>
      <c r="AK393" s="148">
        <v>0</v>
      </c>
      <c r="AL393" s="148">
        <v>0</v>
      </c>
      <c r="AM393" s="148">
        <v>0</v>
      </c>
      <c r="AN393" s="148"/>
    </row>
    <row r="394" spans="1:40" ht="10.199999999999999" x14ac:dyDescent="0.2">
      <c r="A394" s="147" t="s">
        <v>510</v>
      </c>
      <c r="B394" s="148">
        <v>0</v>
      </c>
      <c r="C394" s="148">
        <v>0</v>
      </c>
      <c r="D394" s="148">
        <v>0</v>
      </c>
      <c r="E394" s="148">
        <v>0</v>
      </c>
      <c r="F394" s="148">
        <v>0</v>
      </c>
      <c r="G394" s="148">
        <v>0</v>
      </c>
      <c r="H394" s="148">
        <v>0</v>
      </c>
      <c r="I394" s="148">
        <v>0</v>
      </c>
      <c r="J394" s="148">
        <v>0</v>
      </c>
      <c r="K394" s="148">
        <v>0</v>
      </c>
      <c r="L394" s="148">
        <v>0</v>
      </c>
      <c r="M394" s="148">
        <v>0</v>
      </c>
      <c r="N394" s="148"/>
      <c r="O394" s="148">
        <v>0</v>
      </c>
      <c r="P394" s="148">
        <v>0</v>
      </c>
      <c r="Q394" s="148">
        <v>0</v>
      </c>
      <c r="R394" s="148">
        <v>0</v>
      </c>
      <c r="S394" s="148">
        <v>0</v>
      </c>
      <c r="T394" s="148">
        <v>0</v>
      </c>
      <c r="U394" s="148">
        <v>0</v>
      </c>
      <c r="V394" s="148">
        <v>0</v>
      </c>
      <c r="W394" s="148">
        <v>0</v>
      </c>
      <c r="X394" s="148">
        <v>0</v>
      </c>
      <c r="Y394" s="148">
        <v>0</v>
      </c>
      <c r="Z394" s="148">
        <v>0</v>
      </c>
      <c r="AA394" s="148"/>
      <c r="AB394" s="148">
        <v>0</v>
      </c>
      <c r="AC394" s="148">
        <v>0</v>
      </c>
      <c r="AD394" s="148">
        <v>0</v>
      </c>
      <c r="AE394" s="148">
        <v>406.22058650877</v>
      </c>
      <c r="AF394" s="148">
        <v>-406.22058650877</v>
      </c>
      <c r="AG394" s="148">
        <v>0</v>
      </c>
      <c r="AH394" s="148">
        <v>0</v>
      </c>
      <c r="AI394" s="148">
        <v>0</v>
      </c>
      <c r="AJ394" s="148">
        <v>0</v>
      </c>
      <c r="AK394" s="148">
        <v>0</v>
      </c>
      <c r="AL394" s="148">
        <v>0</v>
      </c>
      <c r="AM394" s="148">
        <v>0</v>
      </c>
      <c r="AN394" s="148"/>
    </row>
    <row r="395" spans="1:40" ht="10.199999999999999" x14ac:dyDescent="0.2">
      <c r="A395" s="147" t="s">
        <v>511</v>
      </c>
      <c r="B395" s="148">
        <v>0</v>
      </c>
      <c r="C395" s="148">
        <v>0</v>
      </c>
      <c r="D395" s="148">
        <v>0</v>
      </c>
      <c r="E395" s="148">
        <v>0</v>
      </c>
      <c r="F395" s="148">
        <v>0</v>
      </c>
      <c r="G395" s="148">
        <v>0</v>
      </c>
      <c r="H395" s="148">
        <v>0</v>
      </c>
      <c r="I395" s="148">
        <v>0</v>
      </c>
      <c r="J395" s="148">
        <v>0</v>
      </c>
      <c r="K395" s="148">
        <v>0</v>
      </c>
      <c r="L395" s="148">
        <v>0</v>
      </c>
      <c r="M395" s="148">
        <v>0</v>
      </c>
      <c r="N395" s="148"/>
      <c r="O395" s="148">
        <v>0</v>
      </c>
      <c r="P395" s="148">
        <v>0</v>
      </c>
      <c r="Q395" s="148">
        <v>0</v>
      </c>
      <c r="R395" s="148">
        <v>0</v>
      </c>
      <c r="S395" s="148">
        <v>0</v>
      </c>
      <c r="T395" s="148">
        <v>0</v>
      </c>
      <c r="U395" s="148">
        <v>0</v>
      </c>
      <c r="V395" s="148">
        <v>0</v>
      </c>
      <c r="W395" s="148">
        <v>0</v>
      </c>
      <c r="X395" s="148">
        <v>0</v>
      </c>
      <c r="Y395" s="148">
        <v>0</v>
      </c>
      <c r="Z395" s="148">
        <v>0</v>
      </c>
      <c r="AA395" s="148"/>
      <c r="AB395" s="148">
        <v>0</v>
      </c>
      <c r="AC395" s="148">
        <v>0</v>
      </c>
      <c r="AD395" s="148">
        <v>0</v>
      </c>
      <c r="AE395" s="148">
        <v>0</v>
      </c>
      <c r="AF395" s="148">
        <v>0</v>
      </c>
      <c r="AG395" s="148">
        <v>0</v>
      </c>
      <c r="AH395" s="148">
        <v>0</v>
      </c>
      <c r="AI395" s="148">
        <v>0</v>
      </c>
      <c r="AJ395" s="148">
        <v>0</v>
      </c>
      <c r="AK395" s="148">
        <v>0</v>
      </c>
      <c r="AL395" s="148">
        <v>0</v>
      </c>
      <c r="AM395" s="148">
        <v>0</v>
      </c>
      <c r="AN395" s="148"/>
    </row>
    <row r="396" spans="1:40" ht="14.4" x14ac:dyDescent="0.3">
      <c r="A396" s="147" t="s">
        <v>796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</row>
    <row r="397" spans="1:40" ht="14.4" x14ac:dyDescent="0.3">
      <c r="A397" s="147" t="s">
        <v>797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</row>
    <row r="398" spans="1:40" ht="14.4" x14ac:dyDescent="0.3">
      <c r="A398" s="147" t="s">
        <v>798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</row>
    <row r="399" spans="1:40" ht="14.4" x14ac:dyDescent="0.3">
      <c r="A399" s="147" t="s">
        <v>799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</row>
    <row r="400" spans="1:40" ht="14.4" x14ac:dyDescent="0.3">
      <c r="A400" s="147" t="s">
        <v>800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</row>
    <row r="401" spans="1:40" ht="14.4" x14ac:dyDescent="0.3">
      <c r="A401" s="147" t="s">
        <v>801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</row>
    <row r="402" spans="1:40" ht="14.4" x14ac:dyDescent="0.3">
      <c r="A402" s="147" t="s">
        <v>802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</row>
    <row r="403" spans="1:40" ht="14.4" x14ac:dyDescent="0.3">
      <c r="A403" s="147" t="s">
        <v>803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</row>
    <row r="404" spans="1:40" ht="14.4" x14ac:dyDescent="0.3">
      <c r="A404" s="147" t="s">
        <v>804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</row>
    <row r="405" spans="1:40" ht="14.4" x14ac:dyDescent="0.3">
      <c r="A405" s="147" t="s">
        <v>805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</row>
    <row r="406" spans="1:40" ht="14.4" x14ac:dyDescent="0.3">
      <c r="A406" s="147" t="s">
        <v>806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</row>
    <row r="407" spans="1:40" ht="14.4" x14ac:dyDescent="0.3">
      <c r="A407" s="149" t="s">
        <v>807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</row>
    <row r="408" spans="1:40" ht="10.199999999999999" x14ac:dyDescent="0.2">
      <c r="A408" s="147" t="s">
        <v>808</v>
      </c>
      <c r="B408" s="148">
        <v>8403.1094100800001</v>
      </c>
      <c r="C408" s="148">
        <v>5332.1734374649895</v>
      </c>
      <c r="D408" s="148">
        <v>-2458.7463500240201</v>
      </c>
      <c r="E408" s="148">
        <v>2033.03933797999</v>
      </c>
      <c r="F408" s="148">
        <v>4799.38435046</v>
      </c>
      <c r="G408" s="148">
        <v>-6119.4306482390102</v>
      </c>
      <c r="H408" s="148">
        <v>5981.2827967963503</v>
      </c>
      <c r="I408" s="148">
        <v>5445.7357576615796</v>
      </c>
      <c r="J408" s="148">
        <v>-18759.0963456231</v>
      </c>
      <c r="K408" s="148">
        <v>1771.5179574174199</v>
      </c>
      <c r="L408" s="148">
        <v>3235.8303981577101</v>
      </c>
      <c r="M408" s="148">
        <v>-8292.9926614491906</v>
      </c>
      <c r="N408" s="148"/>
      <c r="O408" s="148">
        <v>6620.0923938703099</v>
      </c>
      <c r="P408" s="148">
        <v>5626.1462144133202</v>
      </c>
      <c r="Q408" s="148">
        <v>-2044.4640404916299</v>
      </c>
      <c r="R408" s="148">
        <v>1748.8228982980299</v>
      </c>
      <c r="S408" s="148">
        <v>3256.3346401263898</v>
      </c>
      <c r="T408" s="148">
        <v>-1743.18169102518</v>
      </c>
      <c r="U408" s="148">
        <v>5223.8468389442896</v>
      </c>
      <c r="V408" s="148">
        <v>5449.9081106472704</v>
      </c>
      <c r="W408" s="148">
        <v>-3146.9716956696702</v>
      </c>
      <c r="X408" s="148">
        <v>1860.6168996967299</v>
      </c>
      <c r="Y408" s="148">
        <v>3546.6948061625098</v>
      </c>
      <c r="Z408" s="148">
        <v>-246.87725328467701</v>
      </c>
      <c r="AA408" s="148"/>
      <c r="AB408" s="148">
        <v>7236.5055320872298</v>
      </c>
      <c r="AC408" s="148">
        <v>6255.8441687842997</v>
      </c>
      <c r="AD408" s="148">
        <v>831.67484953665098</v>
      </c>
      <c r="AE408" s="148">
        <v>1974.4551001601301</v>
      </c>
      <c r="AF408" s="148">
        <v>3230.3579665462698</v>
      </c>
      <c r="AG408" s="148">
        <v>411.05561143838497</v>
      </c>
      <c r="AH408" s="148">
        <v>5099.4374124835203</v>
      </c>
      <c r="AI408" s="148">
        <v>5835.5365741689802</v>
      </c>
      <c r="AJ408" s="148">
        <v>127.772744008514</v>
      </c>
      <c r="AK408" s="148">
        <v>1624.06094714449</v>
      </c>
      <c r="AL408" s="148">
        <v>3225.2324757606202</v>
      </c>
      <c r="AM408" s="148">
        <v>1743.23663175353</v>
      </c>
      <c r="AN408" s="148"/>
    </row>
    <row r="409" spans="1:40" ht="14.4" x14ac:dyDescent="0.3">
      <c r="A409" s="147" t="s">
        <v>809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</row>
    <row r="410" spans="1:40" ht="10.199999999999999" x14ac:dyDescent="0.2">
      <c r="A410" s="147" t="s">
        <v>810</v>
      </c>
      <c r="B410" s="148">
        <v>0</v>
      </c>
      <c r="C410" s="148">
        <v>0</v>
      </c>
      <c r="D410" s="148">
        <v>0</v>
      </c>
      <c r="E410" s="148">
        <v>0</v>
      </c>
      <c r="F410" s="148">
        <v>0</v>
      </c>
      <c r="G410" s="148">
        <v>0</v>
      </c>
      <c r="H410" s="148">
        <v>0</v>
      </c>
      <c r="I410" s="148">
        <v>0</v>
      </c>
      <c r="J410" s="148">
        <v>0</v>
      </c>
      <c r="K410" s="148">
        <v>0</v>
      </c>
      <c r="L410" s="148">
        <v>0</v>
      </c>
      <c r="M410" s="148">
        <v>0</v>
      </c>
      <c r="N410" s="148"/>
      <c r="O410" s="148">
        <v>0</v>
      </c>
      <c r="P410" s="148">
        <v>0</v>
      </c>
      <c r="Q410" s="148">
        <v>0</v>
      </c>
      <c r="R410" s="148">
        <v>0</v>
      </c>
      <c r="S410" s="148">
        <v>0</v>
      </c>
      <c r="T410" s="148">
        <v>0</v>
      </c>
      <c r="U410" s="148">
        <v>0</v>
      </c>
      <c r="V410" s="148">
        <v>0</v>
      </c>
      <c r="W410" s="148">
        <v>0</v>
      </c>
      <c r="X410" s="148">
        <v>0</v>
      </c>
      <c r="Y410" s="148">
        <v>0</v>
      </c>
      <c r="Z410" s="148">
        <v>0</v>
      </c>
      <c r="AA410" s="148"/>
      <c r="AB410" s="148">
        <v>0</v>
      </c>
      <c r="AC410" s="148">
        <v>0</v>
      </c>
      <c r="AD410" s="148">
        <v>0</v>
      </c>
      <c r="AE410" s="148">
        <v>0</v>
      </c>
      <c r="AF410" s="148">
        <v>0</v>
      </c>
      <c r="AG410" s="148">
        <v>0</v>
      </c>
      <c r="AH410" s="148">
        <v>0</v>
      </c>
      <c r="AI410" s="148">
        <v>0</v>
      </c>
      <c r="AJ410" s="148">
        <v>0</v>
      </c>
      <c r="AK410" s="148">
        <v>0</v>
      </c>
      <c r="AL410" s="148">
        <v>0</v>
      </c>
      <c r="AM410" s="148">
        <v>0</v>
      </c>
      <c r="AN410" s="148"/>
    </row>
    <row r="411" spans="1:40" ht="14.4" x14ac:dyDescent="0.3">
      <c r="A411" s="147" t="s">
        <v>811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</row>
    <row r="412" spans="1:40" ht="10.199999999999999" x14ac:dyDescent="0.2">
      <c r="A412" s="147" t="s">
        <v>812</v>
      </c>
      <c r="B412" s="148">
        <v>8403.1094100800001</v>
      </c>
      <c r="C412" s="148">
        <v>5332.1734374649895</v>
      </c>
      <c r="D412" s="148">
        <v>-2458.7463500240201</v>
      </c>
      <c r="E412" s="148">
        <v>2033.03933797999</v>
      </c>
      <c r="F412" s="148">
        <v>4799.38435046</v>
      </c>
      <c r="G412" s="148">
        <v>-6119.4306482390102</v>
      </c>
      <c r="H412" s="148">
        <v>5981.2827967963503</v>
      </c>
      <c r="I412" s="148">
        <v>5445.7357576615796</v>
      </c>
      <c r="J412" s="148">
        <v>-18759.0963456231</v>
      </c>
      <c r="K412" s="148">
        <v>1771.5179574174199</v>
      </c>
      <c r="L412" s="148">
        <v>3235.8303981577101</v>
      </c>
      <c r="M412" s="148">
        <v>-8292.9926614491906</v>
      </c>
      <c r="N412" s="148"/>
      <c r="O412" s="148">
        <v>6620.0923938703099</v>
      </c>
      <c r="P412" s="148">
        <v>5626.1462144133202</v>
      </c>
      <c r="Q412" s="148">
        <v>-2044.4640404916299</v>
      </c>
      <c r="R412" s="148">
        <v>1748.8228982980299</v>
      </c>
      <c r="S412" s="148">
        <v>3256.3346401263898</v>
      </c>
      <c r="T412" s="148">
        <v>-1743.18169102518</v>
      </c>
      <c r="U412" s="148">
        <v>5223.8468389442896</v>
      </c>
      <c r="V412" s="148">
        <v>5449.9081106472704</v>
      </c>
      <c r="W412" s="148">
        <v>-3146.9716956696702</v>
      </c>
      <c r="X412" s="148">
        <v>1860.6168996967299</v>
      </c>
      <c r="Y412" s="148">
        <v>3546.6948061625098</v>
      </c>
      <c r="Z412" s="148">
        <v>-246.87725328467701</v>
      </c>
      <c r="AA412" s="148"/>
      <c r="AB412" s="148">
        <v>7236.5055320872298</v>
      </c>
      <c r="AC412" s="148">
        <v>6255.8441687842997</v>
      </c>
      <c r="AD412" s="148">
        <v>831.67484953665098</v>
      </c>
      <c r="AE412" s="148">
        <v>1974.4551001601301</v>
      </c>
      <c r="AF412" s="148">
        <v>3230.3579665462698</v>
      </c>
      <c r="AG412" s="148">
        <v>411.05561143838497</v>
      </c>
      <c r="AH412" s="148">
        <v>5099.4374124835203</v>
      </c>
      <c r="AI412" s="148">
        <v>5835.5365741689802</v>
      </c>
      <c r="AJ412" s="148">
        <v>127.772744008514</v>
      </c>
      <c r="AK412" s="148">
        <v>1624.06094714449</v>
      </c>
      <c r="AL412" s="148">
        <v>3225.2324757606202</v>
      </c>
      <c r="AM412" s="148">
        <v>1743.23663175353</v>
      </c>
      <c r="AN412" s="148"/>
    </row>
    <row r="413" spans="1:40" ht="10.199999999999999" x14ac:dyDescent="0.2">
      <c r="A413" s="147" t="s">
        <v>813</v>
      </c>
      <c r="B413" s="148">
        <v>8403.1094100800001</v>
      </c>
      <c r="C413" s="148">
        <v>13735.282847545001</v>
      </c>
      <c r="D413" s="148">
        <v>11276.5364975209</v>
      </c>
      <c r="E413" s="148">
        <v>13309.5758355009</v>
      </c>
      <c r="F413" s="148">
        <v>18108.960185960899</v>
      </c>
      <c r="G413" s="148">
        <v>11989.529537721901</v>
      </c>
      <c r="H413" s="148">
        <v>17970.812334518301</v>
      </c>
      <c r="I413" s="148">
        <v>23416.548092179899</v>
      </c>
      <c r="J413" s="148">
        <v>4657.4517465567296</v>
      </c>
      <c r="K413" s="148">
        <v>6428.9697039741604</v>
      </c>
      <c r="L413" s="148">
        <v>9664.8001021318796</v>
      </c>
      <c r="M413" s="148">
        <v>1371.80744068268</v>
      </c>
      <c r="N413" s="148"/>
      <c r="O413" s="148">
        <v>6620.0923938703099</v>
      </c>
      <c r="P413" s="148">
        <v>12246.2386082836</v>
      </c>
      <c r="Q413" s="148">
        <v>10201.774567791999</v>
      </c>
      <c r="R413" s="148">
        <v>11950.597466089999</v>
      </c>
      <c r="S413" s="148">
        <v>15206.9321062164</v>
      </c>
      <c r="T413" s="148">
        <v>13463.7504151912</v>
      </c>
      <c r="U413" s="148">
        <v>18687.5972541355</v>
      </c>
      <c r="V413" s="148">
        <v>24137.505364782799</v>
      </c>
      <c r="W413" s="148">
        <v>20990.533669113101</v>
      </c>
      <c r="X413" s="148">
        <v>22851.1505688098</v>
      </c>
      <c r="Y413" s="148">
        <v>26397.845374972301</v>
      </c>
      <c r="Z413" s="148">
        <v>26150.9681216877</v>
      </c>
      <c r="AA413" s="148"/>
      <c r="AB413" s="148">
        <v>7236.5055320872298</v>
      </c>
      <c r="AC413" s="148">
        <v>13492.3497008715</v>
      </c>
      <c r="AD413" s="148">
        <v>14324.024550408099</v>
      </c>
      <c r="AE413" s="148">
        <v>16298.479650568301</v>
      </c>
      <c r="AF413" s="148">
        <v>19528.837617114601</v>
      </c>
      <c r="AG413" s="148">
        <v>19939.893228552901</v>
      </c>
      <c r="AH413" s="148">
        <v>25039.3306410365</v>
      </c>
      <c r="AI413" s="148">
        <v>30874.867215205501</v>
      </c>
      <c r="AJ413" s="148">
        <v>31002.639959214001</v>
      </c>
      <c r="AK413" s="148">
        <v>32626.700906358499</v>
      </c>
      <c r="AL413" s="148">
        <v>35851.933382119103</v>
      </c>
      <c r="AM413" s="148">
        <v>37595.170013872601</v>
      </c>
      <c r="AN413" s="148"/>
    </row>
    <row r="414" spans="1:40" ht="14.4" x14ac:dyDescent="0.3">
      <c r="A414" s="147" t="s">
        <v>814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</row>
    <row r="415" spans="1:40" ht="10.199999999999999" x14ac:dyDescent="0.2">
      <c r="A415" s="147" t="s">
        <v>815</v>
      </c>
      <c r="B415" s="148">
        <v>0</v>
      </c>
      <c r="C415" s="148">
        <v>0</v>
      </c>
      <c r="D415" s="148">
        <v>0</v>
      </c>
      <c r="E415" s="148">
        <v>12</v>
      </c>
      <c r="F415" s="148">
        <v>0</v>
      </c>
      <c r="G415" s="148">
        <v>12</v>
      </c>
      <c r="H415" s="148">
        <v>0</v>
      </c>
      <c r="I415" s="148">
        <v>0</v>
      </c>
      <c r="J415" s="148">
        <v>12</v>
      </c>
      <c r="K415" s="148">
        <v>0</v>
      </c>
      <c r="L415" s="148">
        <v>0</v>
      </c>
      <c r="M415" s="148">
        <v>12</v>
      </c>
      <c r="N415" s="148"/>
      <c r="O415" s="148">
        <v>0</v>
      </c>
      <c r="P415" s="148">
        <v>0</v>
      </c>
      <c r="Q415" s="148">
        <v>0</v>
      </c>
      <c r="R415" s="148">
        <v>12</v>
      </c>
      <c r="S415" s="148">
        <v>0</v>
      </c>
      <c r="T415" s="148">
        <v>12</v>
      </c>
      <c r="U415" s="148">
        <v>0</v>
      </c>
      <c r="V415" s="148">
        <v>0</v>
      </c>
      <c r="W415" s="148">
        <v>12</v>
      </c>
      <c r="X415" s="148">
        <v>0</v>
      </c>
      <c r="Y415" s="148">
        <v>0</v>
      </c>
      <c r="Z415" s="148">
        <v>12</v>
      </c>
      <c r="AA415" s="148"/>
      <c r="AB415" s="148">
        <v>0</v>
      </c>
      <c r="AC415" s="148">
        <v>0</v>
      </c>
      <c r="AD415" s="148">
        <v>0</v>
      </c>
      <c r="AE415" s="148">
        <v>12</v>
      </c>
      <c r="AF415" s="148">
        <v>0</v>
      </c>
      <c r="AG415" s="148">
        <v>12</v>
      </c>
      <c r="AH415" s="148">
        <v>0</v>
      </c>
      <c r="AI415" s="148">
        <v>0</v>
      </c>
      <c r="AJ415" s="148">
        <v>12</v>
      </c>
      <c r="AK415" s="148">
        <v>0</v>
      </c>
      <c r="AL415" s="148">
        <v>0</v>
      </c>
      <c r="AM415" s="148">
        <v>12</v>
      </c>
      <c r="AN415" s="148"/>
    </row>
    <row r="416" spans="1:40" ht="10.199999999999999" x14ac:dyDescent="0.2">
      <c r="A416" s="147" t="s">
        <v>816</v>
      </c>
      <c r="B416" s="148">
        <v>42047.899449999997</v>
      </c>
      <c r="C416" s="148">
        <v>68684.958759999994</v>
      </c>
      <c r="D416" s="148">
        <v>92443.537750000003</v>
      </c>
      <c r="E416" s="148">
        <v>102546.38869000001</v>
      </c>
      <c r="F416" s="148">
        <v>126533.34624</v>
      </c>
      <c r="G416" s="148">
        <v>153935.03831</v>
      </c>
      <c r="H416" s="148">
        <v>183822.14537915401</v>
      </c>
      <c r="I416" s="148">
        <v>211028.586136856</v>
      </c>
      <c r="J416" s="148">
        <v>230867.44143500601</v>
      </c>
      <c r="K416" s="148">
        <v>239646.14836190999</v>
      </c>
      <c r="L416" s="148">
        <v>255775.69527247499</v>
      </c>
      <c r="M416" s="148">
        <v>283545.60290984099</v>
      </c>
      <c r="N416" s="148"/>
      <c r="O416" s="148">
        <v>33060.288187319798</v>
      </c>
      <c r="P416" s="148">
        <v>61175.479011446798</v>
      </c>
      <c r="Q416" s="148">
        <v>81345.781906201504</v>
      </c>
      <c r="R416" s="148">
        <v>90022.489138271805</v>
      </c>
      <c r="S416" s="148">
        <v>106255.686204068</v>
      </c>
      <c r="T416" s="148">
        <v>127938.183314182</v>
      </c>
      <c r="U416" s="148">
        <v>154030.37491540701</v>
      </c>
      <c r="V416" s="148">
        <v>181259.20272316199</v>
      </c>
      <c r="W416" s="148">
        <v>195897.248456609</v>
      </c>
      <c r="X416" s="148">
        <v>205130.53162300799</v>
      </c>
      <c r="Y416" s="148">
        <v>222824.30911755699</v>
      </c>
      <c r="Z416" s="148">
        <v>251981.80509852301</v>
      </c>
      <c r="AA416" s="148"/>
      <c r="AB416" s="148">
        <v>36149.256353820703</v>
      </c>
      <c r="AC416" s="148">
        <v>67420.070901611703</v>
      </c>
      <c r="AD416" s="148">
        <v>88898.253167235904</v>
      </c>
      <c r="AE416" s="148">
        <v>98705.148879818007</v>
      </c>
      <c r="AF416" s="148">
        <v>114809.69605548801</v>
      </c>
      <c r="AG416" s="148">
        <v>134180.33821281401</v>
      </c>
      <c r="AH416" s="148">
        <v>159648.05266636499</v>
      </c>
      <c r="AI416" s="148">
        <v>188810.20322861601</v>
      </c>
      <c r="AJ416" s="148">
        <v>206754.15313817299</v>
      </c>
      <c r="AK416" s="148">
        <v>214802.00418150399</v>
      </c>
      <c r="AL416" s="148">
        <v>230883.69367403799</v>
      </c>
      <c r="AM416" s="148">
        <v>256907.884930667</v>
      </c>
      <c r="AN416" s="148"/>
    </row>
    <row r="417" spans="1:40" ht="10.199999999999999" x14ac:dyDescent="0.2">
      <c r="A417" s="147" t="s">
        <v>817</v>
      </c>
      <c r="B417" s="148">
        <v>0</v>
      </c>
      <c r="C417" s="148">
        <v>0</v>
      </c>
      <c r="D417" s="148">
        <v>0</v>
      </c>
      <c r="E417" s="148">
        <v>283545.60290983203</v>
      </c>
      <c r="F417" s="148">
        <v>0</v>
      </c>
      <c r="G417" s="148">
        <v>283545.60290983203</v>
      </c>
      <c r="H417" s="148">
        <v>0</v>
      </c>
      <c r="I417" s="148">
        <v>0</v>
      </c>
      <c r="J417" s="148">
        <v>283545.60290983203</v>
      </c>
      <c r="K417" s="148">
        <v>0</v>
      </c>
      <c r="L417" s="148">
        <v>0</v>
      </c>
      <c r="M417" s="148">
        <v>283545.60290984099</v>
      </c>
      <c r="N417" s="148"/>
      <c r="O417" s="148">
        <v>0</v>
      </c>
      <c r="P417" s="148">
        <v>0</v>
      </c>
      <c r="Q417" s="148">
        <v>0</v>
      </c>
      <c r="R417" s="148">
        <v>251981.80509463599</v>
      </c>
      <c r="S417" s="148">
        <v>0</v>
      </c>
      <c r="T417" s="148">
        <v>251981.80509463599</v>
      </c>
      <c r="U417" s="148">
        <v>0</v>
      </c>
      <c r="V417" s="148">
        <v>0</v>
      </c>
      <c r="W417" s="148">
        <v>251981.80509463599</v>
      </c>
      <c r="X417" s="148">
        <v>0</v>
      </c>
      <c r="Y417" s="148">
        <v>0</v>
      </c>
      <c r="Z417" s="148">
        <v>251981.80509852301</v>
      </c>
      <c r="AA417" s="148"/>
      <c r="AB417" s="148">
        <v>0</v>
      </c>
      <c r="AC417" s="148">
        <v>0</v>
      </c>
      <c r="AD417" s="148">
        <v>0</v>
      </c>
      <c r="AE417" s="148">
        <v>256907.88491531799</v>
      </c>
      <c r="AF417" s="148">
        <v>0</v>
      </c>
      <c r="AG417" s="148">
        <v>256907.88491531799</v>
      </c>
      <c r="AH417" s="148">
        <v>0</v>
      </c>
      <c r="AI417" s="148">
        <v>0</v>
      </c>
      <c r="AJ417" s="148">
        <v>256907.88491531799</v>
      </c>
      <c r="AK417" s="148">
        <v>0</v>
      </c>
      <c r="AL417" s="148">
        <v>0</v>
      </c>
      <c r="AM417" s="148">
        <v>256907.884930667</v>
      </c>
      <c r="AN417" s="148"/>
    </row>
    <row r="418" spans="1:40" ht="10.199999999999999" x14ac:dyDescent="0.2">
      <c r="A418" s="147" t="s">
        <v>818</v>
      </c>
      <c r="B418" s="148">
        <v>8403.1094100800001</v>
      </c>
      <c r="C418" s="148">
        <v>13735.282847545001</v>
      </c>
      <c r="D418" s="148">
        <v>11276.5364975209</v>
      </c>
      <c r="E418" s="148">
        <v>13309.5758355009</v>
      </c>
      <c r="F418" s="148">
        <v>18108.960185960899</v>
      </c>
      <c r="G418" s="148">
        <v>11989.529537721901</v>
      </c>
      <c r="H418" s="148">
        <v>17970.812334518301</v>
      </c>
      <c r="I418" s="148">
        <v>23416.548092179899</v>
      </c>
      <c r="J418" s="148">
        <v>4657.4517465567296</v>
      </c>
      <c r="K418" s="148">
        <v>6428.9697039741604</v>
      </c>
      <c r="L418" s="148">
        <v>9664.8001021318796</v>
      </c>
      <c r="M418" s="148">
        <v>1371.80744068268</v>
      </c>
      <c r="N418" s="148"/>
      <c r="O418" s="148">
        <v>6620.0923938703099</v>
      </c>
      <c r="P418" s="148">
        <v>12246.2386082836</v>
      </c>
      <c r="Q418" s="148">
        <v>10201.774567791999</v>
      </c>
      <c r="R418" s="148">
        <v>11950.597466089999</v>
      </c>
      <c r="S418" s="148">
        <v>15206.9321062164</v>
      </c>
      <c r="T418" s="148">
        <v>13463.7504151912</v>
      </c>
      <c r="U418" s="148">
        <v>18687.5972541355</v>
      </c>
      <c r="V418" s="148">
        <v>24137.505364782799</v>
      </c>
      <c r="W418" s="148">
        <v>20990.533669113101</v>
      </c>
      <c r="X418" s="148">
        <v>22851.1505688098</v>
      </c>
      <c r="Y418" s="148">
        <v>26397.845374972301</v>
      </c>
      <c r="Z418" s="148">
        <v>26150.9681216877</v>
      </c>
      <c r="AA418" s="148"/>
      <c r="AB418" s="148">
        <v>7236.5055320872298</v>
      </c>
      <c r="AC418" s="148">
        <v>13492.3497008715</v>
      </c>
      <c r="AD418" s="148">
        <v>14324.024550408099</v>
      </c>
      <c r="AE418" s="148">
        <v>16298.479650568301</v>
      </c>
      <c r="AF418" s="148">
        <v>19528.837617114601</v>
      </c>
      <c r="AG418" s="148">
        <v>19939.893228552901</v>
      </c>
      <c r="AH418" s="148">
        <v>25039.3306410365</v>
      </c>
      <c r="AI418" s="148">
        <v>30874.867215205501</v>
      </c>
      <c r="AJ418" s="148">
        <v>31002.639959214001</v>
      </c>
      <c r="AK418" s="148">
        <v>32626.700906358499</v>
      </c>
      <c r="AL418" s="148">
        <v>35851.933382119103</v>
      </c>
      <c r="AM418" s="148">
        <v>37595.170013872601</v>
      </c>
      <c r="AN418" s="148"/>
    </row>
    <row r="419" spans="1:40" ht="10.199999999999999" x14ac:dyDescent="0.2">
      <c r="A419" s="147" t="s">
        <v>819</v>
      </c>
      <c r="B419" s="148">
        <v>0</v>
      </c>
      <c r="C419" s="148">
        <v>0</v>
      </c>
      <c r="D419" s="148">
        <v>0</v>
      </c>
      <c r="E419" s="148">
        <v>1371.8074406784699</v>
      </c>
      <c r="F419" s="148">
        <v>0</v>
      </c>
      <c r="G419" s="148">
        <v>1371.8074406784699</v>
      </c>
      <c r="H419" s="148">
        <v>0</v>
      </c>
      <c r="I419" s="148">
        <v>0</v>
      </c>
      <c r="J419" s="148">
        <v>1371.8074406784699</v>
      </c>
      <c r="K419" s="148">
        <v>0</v>
      </c>
      <c r="L419" s="148">
        <v>0</v>
      </c>
      <c r="M419" s="148">
        <v>1371.80744068268</v>
      </c>
      <c r="N419" s="148"/>
      <c r="O419" s="148">
        <v>0</v>
      </c>
      <c r="P419" s="148">
        <v>0</v>
      </c>
      <c r="Q419" s="148">
        <v>0</v>
      </c>
      <c r="R419" s="148">
        <v>26150.968120843201</v>
      </c>
      <c r="S419" s="148">
        <v>0</v>
      </c>
      <c r="T419" s="148">
        <v>26150.968120843201</v>
      </c>
      <c r="U419" s="148">
        <v>0</v>
      </c>
      <c r="V419" s="148">
        <v>0</v>
      </c>
      <c r="W419" s="148">
        <v>26150.968120843201</v>
      </c>
      <c r="X419" s="148">
        <v>0</v>
      </c>
      <c r="Y419" s="148">
        <v>0</v>
      </c>
      <c r="Z419" s="148">
        <v>26150.9681216877</v>
      </c>
      <c r="AA419" s="148"/>
      <c r="AB419" s="148">
        <v>0</v>
      </c>
      <c r="AC419" s="148">
        <v>0</v>
      </c>
      <c r="AD419" s="148">
        <v>0</v>
      </c>
      <c r="AE419" s="148">
        <v>37595.170010621798</v>
      </c>
      <c r="AF419" s="148">
        <v>0</v>
      </c>
      <c r="AG419" s="148">
        <v>37595.170010621798</v>
      </c>
      <c r="AH419" s="148">
        <v>0</v>
      </c>
      <c r="AI419" s="148">
        <v>0</v>
      </c>
      <c r="AJ419" s="148">
        <v>37595.170010621798</v>
      </c>
      <c r="AK419" s="148">
        <v>0</v>
      </c>
      <c r="AL419" s="148">
        <v>0</v>
      </c>
      <c r="AM419" s="148">
        <v>37595.170013872601</v>
      </c>
      <c r="AN419" s="148"/>
    </row>
    <row r="420" spans="1:40" ht="10.199999999999999" x14ac:dyDescent="0.2">
      <c r="A420" s="147" t="s">
        <v>820</v>
      </c>
      <c r="B420" s="148">
        <v>0</v>
      </c>
      <c r="C420" s="148">
        <v>0</v>
      </c>
      <c r="D420" s="148">
        <v>0</v>
      </c>
      <c r="E420" s="148">
        <v>68684.958759999994</v>
      </c>
      <c r="F420" s="148">
        <v>0</v>
      </c>
      <c r="G420" s="148">
        <v>0</v>
      </c>
      <c r="H420" s="148">
        <v>0</v>
      </c>
      <c r="I420" s="148">
        <v>0</v>
      </c>
      <c r="J420" s="148">
        <v>0</v>
      </c>
      <c r="K420" s="148">
        <v>0</v>
      </c>
      <c r="L420" s="148">
        <v>0</v>
      </c>
      <c r="M420" s="148">
        <v>0</v>
      </c>
      <c r="N420" s="148"/>
      <c r="O420" s="148">
        <v>0</v>
      </c>
      <c r="P420" s="148">
        <v>0</v>
      </c>
      <c r="Q420" s="148">
        <v>0</v>
      </c>
      <c r="R420" s="148">
        <v>61175.479011446798</v>
      </c>
      <c r="S420" s="148">
        <v>0</v>
      </c>
      <c r="T420" s="148">
        <v>0</v>
      </c>
      <c r="U420" s="148">
        <v>0</v>
      </c>
      <c r="V420" s="148">
        <v>0</v>
      </c>
      <c r="W420" s="148">
        <v>0</v>
      </c>
      <c r="X420" s="148">
        <v>0</v>
      </c>
      <c r="Y420" s="148">
        <v>0</v>
      </c>
      <c r="Z420" s="148">
        <v>0</v>
      </c>
      <c r="AA420" s="148"/>
      <c r="AB420" s="148">
        <v>0</v>
      </c>
      <c r="AC420" s="148">
        <v>0</v>
      </c>
      <c r="AD420" s="148">
        <v>0</v>
      </c>
      <c r="AE420" s="148">
        <v>67420.070901611703</v>
      </c>
      <c r="AF420" s="148">
        <v>0</v>
      </c>
      <c r="AG420" s="148">
        <v>0</v>
      </c>
      <c r="AH420" s="148">
        <v>0</v>
      </c>
      <c r="AI420" s="148">
        <v>0</v>
      </c>
      <c r="AJ420" s="148">
        <v>0</v>
      </c>
      <c r="AK420" s="148">
        <v>0</v>
      </c>
      <c r="AL420" s="148">
        <v>0</v>
      </c>
      <c r="AM420" s="148">
        <v>0</v>
      </c>
      <c r="AN420" s="148"/>
    </row>
    <row r="421" spans="1:40" ht="10.199999999999999" x14ac:dyDescent="0.2">
      <c r="A421" s="147" t="s">
        <v>821</v>
      </c>
      <c r="B421" s="148">
        <v>0</v>
      </c>
      <c r="C421" s="148">
        <v>0</v>
      </c>
      <c r="D421" s="148">
        <v>0</v>
      </c>
      <c r="E421" s="148">
        <v>412109.75255999999</v>
      </c>
      <c r="F421" s="148">
        <v>0</v>
      </c>
      <c r="G421" s="148">
        <v>0</v>
      </c>
      <c r="H421" s="148">
        <v>0</v>
      </c>
      <c r="I421" s="148">
        <v>0</v>
      </c>
      <c r="J421" s="148">
        <v>0</v>
      </c>
      <c r="K421" s="148">
        <v>0</v>
      </c>
      <c r="L421" s="148">
        <v>0</v>
      </c>
      <c r="M421" s="148">
        <v>0</v>
      </c>
      <c r="N421" s="148"/>
      <c r="O421" s="148">
        <v>0</v>
      </c>
      <c r="P421" s="148">
        <v>0</v>
      </c>
      <c r="Q421" s="148">
        <v>0</v>
      </c>
      <c r="R421" s="148">
        <v>367052.87406867999</v>
      </c>
      <c r="S421" s="148">
        <v>0</v>
      </c>
      <c r="T421" s="148">
        <v>0</v>
      </c>
      <c r="U421" s="148">
        <v>0</v>
      </c>
      <c r="V421" s="148">
        <v>0</v>
      </c>
      <c r="W421" s="148">
        <v>0</v>
      </c>
      <c r="X421" s="148">
        <v>0</v>
      </c>
      <c r="Y421" s="148">
        <v>0</v>
      </c>
      <c r="Z421" s="148">
        <v>0</v>
      </c>
      <c r="AA421" s="148"/>
      <c r="AB421" s="148">
        <v>0</v>
      </c>
      <c r="AC421" s="148">
        <v>0</v>
      </c>
      <c r="AD421" s="148">
        <v>0</v>
      </c>
      <c r="AE421" s="148">
        <v>404520.42540966999</v>
      </c>
      <c r="AF421" s="148">
        <v>0</v>
      </c>
      <c r="AG421" s="148">
        <v>0</v>
      </c>
      <c r="AH421" s="148">
        <v>0</v>
      </c>
      <c r="AI421" s="148">
        <v>0</v>
      </c>
      <c r="AJ421" s="148">
        <v>0</v>
      </c>
      <c r="AK421" s="148">
        <v>0</v>
      </c>
      <c r="AL421" s="148">
        <v>0</v>
      </c>
      <c r="AM421" s="148">
        <v>0</v>
      </c>
      <c r="AN421" s="148"/>
    </row>
    <row r="422" spans="1:40" ht="10.199999999999999" x14ac:dyDescent="0.2">
      <c r="A422" s="147" t="s">
        <v>822</v>
      </c>
      <c r="B422" s="148">
        <v>0</v>
      </c>
      <c r="C422" s="148">
        <v>0</v>
      </c>
      <c r="D422" s="148">
        <v>0</v>
      </c>
      <c r="E422" s="148">
        <v>28370.278867213499</v>
      </c>
      <c r="F422" s="148">
        <v>0</v>
      </c>
      <c r="G422" s="148">
        <v>0</v>
      </c>
      <c r="H422" s="148">
        <v>0</v>
      </c>
      <c r="I422" s="148">
        <v>0</v>
      </c>
      <c r="J422" s="148">
        <v>0</v>
      </c>
      <c r="K422" s="148">
        <v>0</v>
      </c>
      <c r="L422" s="148">
        <v>0</v>
      </c>
      <c r="M422" s="148">
        <v>0</v>
      </c>
      <c r="N422" s="148"/>
      <c r="O422" s="148">
        <v>0</v>
      </c>
      <c r="P422" s="148">
        <v>0</v>
      </c>
      <c r="Q422" s="148">
        <v>0</v>
      </c>
      <c r="R422" s="148">
        <v>50315.892605392502</v>
      </c>
      <c r="S422" s="148">
        <v>0</v>
      </c>
      <c r="T422" s="148">
        <v>0</v>
      </c>
      <c r="U422" s="148">
        <v>0</v>
      </c>
      <c r="V422" s="148">
        <v>0</v>
      </c>
      <c r="W422" s="148">
        <v>0</v>
      </c>
      <c r="X422" s="148">
        <v>0</v>
      </c>
      <c r="Y422" s="148">
        <v>0</v>
      </c>
      <c r="Z422" s="148">
        <v>0</v>
      </c>
      <c r="AA422" s="148"/>
      <c r="AB422" s="148">
        <v>0</v>
      </c>
      <c r="AC422" s="148">
        <v>0</v>
      </c>
      <c r="AD422" s="148">
        <v>0</v>
      </c>
      <c r="AE422" s="148">
        <v>68593.803514435494</v>
      </c>
      <c r="AF422" s="148">
        <v>0</v>
      </c>
      <c r="AG422" s="148">
        <v>0</v>
      </c>
      <c r="AH422" s="148">
        <v>0</v>
      </c>
      <c r="AI422" s="148">
        <v>0</v>
      </c>
      <c r="AJ422" s="148">
        <v>0</v>
      </c>
      <c r="AK422" s="148">
        <v>0</v>
      </c>
      <c r="AL422" s="148">
        <v>0</v>
      </c>
      <c r="AM422" s="148">
        <v>0</v>
      </c>
      <c r="AN422" s="148"/>
    </row>
    <row r="423" spans="1:40" ht="10.199999999999999" x14ac:dyDescent="0.2">
      <c r="A423" s="147" t="s">
        <v>823</v>
      </c>
      <c r="B423" s="148">
        <v>0</v>
      </c>
      <c r="C423" s="148">
        <v>0</v>
      </c>
      <c r="D423" s="148">
        <v>0</v>
      </c>
      <c r="E423" s="148">
        <v>0</v>
      </c>
      <c r="F423" s="148">
        <v>0</v>
      </c>
      <c r="G423" s="148">
        <v>102546.38869000001</v>
      </c>
      <c r="H423" s="148">
        <v>0</v>
      </c>
      <c r="I423" s="148">
        <v>0</v>
      </c>
      <c r="J423" s="148">
        <v>0</v>
      </c>
      <c r="K423" s="148">
        <v>0</v>
      </c>
      <c r="L423" s="148">
        <v>0</v>
      </c>
      <c r="M423" s="148">
        <v>0</v>
      </c>
      <c r="N423" s="148"/>
      <c r="O423" s="148">
        <v>0</v>
      </c>
      <c r="P423" s="148">
        <v>0</v>
      </c>
      <c r="Q423" s="148">
        <v>0</v>
      </c>
      <c r="R423" s="148">
        <v>0</v>
      </c>
      <c r="S423" s="148">
        <v>0</v>
      </c>
      <c r="T423" s="148">
        <v>90022.489138271805</v>
      </c>
      <c r="U423" s="148">
        <v>0</v>
      </c>
      <c r="V423" s="148">
        <v>0</v>
      </c>
      <c r="W423" s="148">
        <v>0</v>
      </c>
      <c r="X423" s="148">
        <v>0</v>
      </c>
      <c r="Y423" s="148">
        <v>0</v>
      </c>
      <c r="Z423" s="148">
        <v>0</v>
      </c>
      <c r="AA423" s="148"/>
      <c r="AB423" s="148">
        <v>0</v>
      </c>
      <c r="AC423" s="148">
        <v>0</v>
      </c>
      <c r="AD423" s="148">
        <v>0</v>
      </c>
      <c r="AE423" s="148">
        <v>0</v>
      </c>
      <c r="AF423" s="148">
        <v>0</v>
      </c>
      <c r="AG423" s="148">
        <v>98705.148879818007</v>
      </c>
      <c r="AH423" s="148">
        <v>0</v>
      </c>
      <c r="AI423" s="148">
        <v>0</v>
      </c>
      <c r="AJ423" s="148">
        <v>0</v>
      </c>
      <c r="AK423" s="148">
        <v>0</v>
      </c>
      <c r="AL423" s="148">
        <v>0</v>
      </c>
      <c r="AM423" s="148">
        <v>0</v>
      </c>
      <c r="AN423" s="148"/>
    </row>
    <row r="424" spans="1:40" ht="10.199999999999999" x14ac:dyDescent="0.2">
      <c r="A424" s="147" t="s">
        <v>824</v>
      </c>
      <c r="B424" s="148">
        <v>0</v>
      </c>
      <c r="C424" s="148">
        <v>0</v>
      </c>
      <c r="D424" s="148">
        <v>0</v>
      </c>
      <c r="E424" s="148">
        <v>0</v>
      </c>
      <c r="F424" s="148">
        <v>0</v>
      </c>
      <c r="G424" s="148">
        <v>307639.16606999998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/>
      <c r="O424" s="148">
        <v>0</v>
      </c>
      <c r="P424" s="148">
        <v>0</v>
      </c>
      <c r="Q424" s="148">
        <v>0</v>
      </c>
      <c r="R424" s="148">
        <v>0</v>
      </c>
      <c r="S424" s="148">
        <v>0</v>
      </c>
      <c r="T424" s="148">
        <v>270067.46741481498</v>
      </c>
      <c r="U424" s="148">
        <v>0</v>
      </c>
      <c r="V424" s="148">
        <v>0</v>
      </c>
      <c r="W424" s="148">
        <v>0</v>
      </c>
      <c r="X424" s="148">
        <v>0</v>
      </c>
      <c r="Y424" s="148">
        <v>0</v>
      </c>
      <c r="Z424" s="148">
        <v>0</v>
      </c>
      <c r="AA424" s="148"/>
      <c r="AB424" s="148">
        <v>0</v>
      </c>
      <c r="AC424" s="148">
        <v>0</v>
      </c>
      <c r="AD424" s="148">
        <v>0</v>
      </c>
      <c r="AE424" s="148">
        <v>0</v>
      </c>
      <c r="AF424" s="148">
        <v>0</v>
      </c>
      <c r="AG424" s="148">
        <v>296115.44663945399</v>
      </c>
      <c r="AH424" s="148">
        <v>0</v>
      </c>
      <c r="AI424" s="148">
        <v>0</v>
      </c>
      <c r="AJ424" s="148">
        <v>0</v>
      </c>
      <c r="AK424" s="148">
        <v>0</v>
      </c>
      <c r="AL424" s="148">
        <v>0</v>
      </c>
      <c r="AM424" s="148">
        <v>0</v>
      </c>
      <c r="AN424" s="148"/>
    </row>
    <row r="425" spans="1:40" ht="10.199999999999999" x14ac:dyDescent="0.2">
      <c r="A425" s="147" t="s">
        <v>825</v>
      </c>
      <c r="B425" s="148">
        <v>0</v>
      </c>
      <c r="C425" s="148">
        <v>0</v>
      </c>
      <c r="D425" s="148">
        <v>0</v>
      </c>
      <c r="E425" s="148">
        <v>0</v>
      </c>
      <c r="F425" s="148">
        <v>0</v>
      </c>
      <c r="G425" s="148">
        <v>6431.4557043135601</v>
      </c>
      <c r="H425" s="148">
        <v>0</v>
      </c>
      <c r="I425" s="148">
        <v>0</v>
      </c>
      <c r="J425" s="148">
        <v>0</v>
      </c>
      <c r="K425" s="148">
        <v>0</v>
      </c>
      <c r="L425" s="148">
        <v>0</v>
      </c>
      <c r="M425" s="148">
        <v>0</v>
      </c>
      <c r="N425" s="148"/>
      <c r="O425" s="148">
        <v>0</v>
      </c>
      <c r="P425" s="148">
        <v>0</v>
      </c>
      <c r="Q425" s="148">
        <v>0</v>
      </c>
      <c r="R425" s="148">
        <v>0</v>
      </c>
      <c r="S425" s="148">
        <v>0</v>
      </c>
      <c r="T425" s="148">
        <v>29948.957208080799</v>
      </c>
      <c r="U425" s="148">
        <v>0</v>
      </c>
      <c r="V425" s="148">
        <v>0</v>
      </c>
      <c r="W425" s="148">
        <v>0</v>
      </c>
      <c r="X425" s="148">
        <v>0</v>
      </c>
      <c r="Y425" s="148">
        <v>0</v>
      </c>
      <c r="Z425" s="148">
        <v>0</v>
      </c>
      <c r="AA425" s="148"/>
      <c r="AB425" s="148">
        <v>0</v>
      </c>
      <c r="AC425" s="148">
        <v>0</v>
      </c>
      <c r="AD425" s="148">
        <v>0</v>
      </c>
      <c r="AE425" s="148">
        <v>0</v>
      </c>
      <c r="AF425" s="148">
        <v>0</v>
      </c>
      <c r="AG425" s="148">
        <v>45828.757972690197</v>
      </c>
      <c r="AH425" s="148">
        <v>0</v>
      </c>
      <c r="AI425" s="148">
        <v>0</v>
      </c>
      <c r="AJ425" s="148">
        <v>0</v>
      </c>
      <c r="AK425" s="148">
        <v>0</v>
      </c>
      <c r="AL425" s="148">
        <v>0</v>
      </c>
      <c r="AM425" s="148">
        <v>0</v>
      </c>
      <c r="AN425" s="148"/>
    </row>
    <row r="426" spans="1:40" ht="10.199999999999999" x14ac:dyDescent="0.2">
      <c r="A426" s="147" t="s">
        <v>826</v>
      </c>
      <c r="B426" s="148">
        <v>0</v>
      </c>
      <c r="C426" s="148">
        <v>0</v>
      </c>
      <c r="D426" s="148">
        <v>0</v>
      </c>
      <c r="E426" s="148">
        <v>0</v>
      </c>
      <c r="F426" s="148">
        <v>0</v>
      </c>
      <c r="G426" s="148">
        <v>0</v>
      </c>
      <c r="H426" s="148">
        <v>0</v>
      </c>
      <c r="I426" s="148">
        <v>0</v>
      </c>
      <c r="J426" s="148">
        <v>1</v>
      </c>
      <c r="K426" s="148">
        <v>0</v>
      </c>
      <c r="L426" s="148">
        <v>0</v>
      </c>
      <c r="M426" s="148">
        <v>0</v>
      </c>
      <c r="N426" s="148"/>
      <c r="O426" s="148">
        <v>0</v>
      </c>
      <c r="P426" s="148">
        <v>0</v>
      </c>
      <c r="Q426" s="148">
        <v>0</v>
      </c>
      <c r="R426" s="148">
        <v>0</v>
      </c>
      <c r="S426" s="148">
        <v>0</v>
      </c>
      <c r="T426" s="148">
        <v>0</v>
      </c>
      <c r="U426" s="148">
        <v>0</v>
      </c>
      <c r="V426" s="148">
        <v>0</v>
      </c>
      <c r="W426" s="148">
        <v>1</v>
      </c>
      <c r="X426" s="148">
        <v>0</v>
      </c>
      <c r="Y426" s="148">
        <v>0</v>
      </c>
      <c r="Z426" s="148">
        <v>0</v>
      </c>
      <c r="AA426" s="148"/>
      <c r="AB426" s="148">
        <v>0</v>
      </c>
      <c r="AC426" s="148">
        <v>0</v>
      </c>
      <c r="AD426" s="148">
        <v>0</v>
      </c>
      <c r="AE426" s="148">
        <v>0</v>
      </c>
      <c r="AF426" s="148">
        <v>0</v>
      </c>
      <c r="AG426" s="148">
        <v>0</v>
      </c>
      <c r="AH426" s="148">
        <v>0</v>
      </c>
      <c r="AI426" s="148">
        <v>0</v>
      </c>
      <c r="AJ426" s="148">
        <v>1</v>
      </c>
      <c r="AK426" s="148">
        <v>0</v>
      </c>
      <c r="AL426" s="148">
        <v>0</v>
      </c>
      <c r="AM426" s="148">
        <v>0</v>
      </c>
      <c r="AN426" s="148"/>
    </row>
    <row r="427" spans="1:40" ht="10.199999999999999" x14ac:dyDescent="0.2">
      <c r="A427" s="147" t="s">
        <v>827</v>
      </c>
      <c r="B427" s="148">
        <v>0</v>
      </c>
      <c r="C427" s="148">
        <v>0</v>
      </c>
      <c r="D427" s="148">
        <v>0</v>
      </c>
      <c r="E427" s="148">
        <v>0</v>
      </c>
      <c r="F427" s="148">
        <v>0</v>
      </c>
      <c r="G427" s="148">
        <v>0</v>
      </c>
      <c r="H427" s="148">
        <v>0</v>
      </c>
      <c r="I427" s="148">
        <v>0</v>
      </c>
      <c r="J427" s="148">
        <v>183822.14537915401</v>
      </c>
      <c r="K427" s="148">
        <v>0</v>
      </c>
      <c r="L427" s="148">
        <v>0</v>
      </c>
      <c r="M427" s="148">
        <v>0</v>
      </c>
      <c r="N427" s="148"/>
      <c r="O427" s="148">
        <v>0</v>
      </c>
      <c r="P427" s="148">
        <v>0</v>
      </c>
      <c r="Q427" s="148">
        <v>0</v>
      </c>
      <c r="R427" s="148">
        <v>0</v>
      </c>
      <c r="S427" s="148">
        <v>0</v>
      </c>
      <c r="T427" s="148">
        <v>0</v>
      </c>
      <c r="U427" s="148">
        <v>0</v>
      </c>
      <c r="V427" s="148">
        <v>0</v>
      </c>
      <c r="W427" s="148">
        <v>154030.37491540701</v>
      </c>
      <c r="X427" s="148">
        <v>0</v>
      </c>
      <c r="Y427" s="148">
        <v>0</v>
      </c>
      <c r="Z427" s="148">
        <v>0</v>
      </c>
      <c r="AA427" s="148"/>
      <c r="AB427" s="148">
        <v>0</v>
      </c>
      <c r="AC427" s="148">
        <v>0</v>
      </c>
      <c r="AD427" s="148">
        <v>0</v>
      </c>
      <c r="AE427" s="148">
        <v>0</v>
      </c>
      <c r="AF427" s="148">
        <v>0</v>
      </c>
      <c r="AG427" s="148">
        <v>0</v>
      </c>
      <c r="AH427" s="148">
        <v>0</v>
      </c>
      <c r="AI427" s="148">
        <v>0</v>
      </c>
      <c r="AJ427" s="148">
        <v>159648.05266636499</v>
      </c>
      <c r="AK427" s="148">
        <v>0</v>
      </c>
      <c r="AL427" s="148">
        <v>0</v>
      </c>
      <c r="AM427" s="148">
        <v>0</v>
      </c>
      <c r="AN427" s="148"/>
    </row>
    <row r="428" spans="1:40" ht="10.199999999999999" x14ac:dyDescent="0.2">
      <c r="A428" s="147" t="s">
        <v>828</v>
      </c>
      <c r="B428" s="148">
        <v>0</v>
      </c>
      <c r="C428" s="148">
        <v>0</v>
      </c>
      <c r="D428" s="148">
        <v>0</v>
      </c>
      <c r="E428" s="148">
        <v>0</v>
      </c>
      <c r="F428" s="148">
        <v>0</v>
      </c>
      <c r="G428" s="148">
        <v>0</v>
      </c>
      <c r="H428" s="148">
        <v>0</v>
      </c>
      <c r="I428" s="148">
        <v>0</v>
      </c>
      <c r="J428" s="148">
        <v>315123.67779283598</v>
      </c>
      <c r="K428" s="148">
        <v>0</v>
      </c>
      <c r="L428" s="148">
        <v>0</v>
      </c>
      <c r="M428" s="148">
        <v>0</v>
      </c>
      <c r="N428" s="148"/>
      <c r="O428" s="148">
        <v>0</v>
      </c>
      <c r="P428" s="148">
        <v>0</v>
      </c>
      <c r="Q428" s="148">
        <v>0</v>
      </c>
      <c r="R428" s="148">
        <v>0</v>
      </c>
      <c r="S428" s="148">
        <v>0</v>
      </c>
      <c r="T428" s="148">
        <v>0</v>
      </c>
      <c r="U428" s="148">
        <v>0</v>
      </c>
      <c r="V428" s="148">
        <v>0</v>
      </c>
      <c r="W428" s="148">
        <v>264052.07128355501</v>
      </c>
      <c r="X428" s="148">
        <v>0</v>
      </c>
      <c r="Y428" s="148">
        <v>0</v>
      </c>
      <c r="Z428" s="148">
        <v>0</v>
      </c>
      <c r="AA428" s="148"/>
      <c r="AB428" s="148">
        <v>0</v>
      </c>
      <c r="AC428" s="148">
        <v>0</v>
      </c>
      <c r="AD428" s="148">
        <v>0</v>
      </c>
      <c r="AE428" s="148">
        <v>0</v>
      </c>
      <c r="AF428" s="148">
        <v>0</v>
      </c>
      <c r="AG428" s="148">
        <v>0</v>
      </c>
      <c r="AH428" s="148">
        <v>0</v>
      </c>
      <c r="AI428" s="148">
        <v>0</v>
      </c>
      <c r="AJ428" s="148">
        <v>273682.37599948398</v>
      </c>
      <c r="AK428" s="148">
        <v>0</v>
      </c>
      <c r="AL428" s="148">
        <v>0</v>
      </c>
      <c r="AM428" s="148">
        <v>0</v>
      </c>
      <c r="AN428" s="148"/>
    </row>
    <row r="429" spans="1:40" ht="10.199999999999999" x14ac:dyDescent="0.2">
      <c r="A429" s="147" t="s">
        <v>829</v>
      </c>
      <c r="B429" s="148">
        <v>0</v>
      </c>
      <c r="C429" s="148">
        <v>0</v>
      </c>
      <c r="D429" s="148">
        <v>0</v>
      </c>
      <c r="E429" s="148">
        <v>0</v>
      </c>
      <c r="F429" s="148">
        <v>0</v>
      </c>
      <c r="G429" s="148">
        <v>0</v>
      </c>
      <c r="H429" s="148">
        <v>0</v>
      </c>
      <c r="I429" s="148">
        <v>0</v>
      </c>
      <c r="J429" s="148">
        <v>8003.2031661092697</v>
      </c>
      <c r="K429" s="148">
        <v>0</v>
      </c>
      <c r="L429" s="148">
        <v>0</v>
      </c>
      <c r="M429" s="148">
        <v>0</v>
      </c>
      <c r="N429" s="148"/>
      <c r="O429" s="148">
        <v>0</v>
      </c>
      <c r="P429" s="148">
        <v>0</v>
      </c>
      <c r="Q429" s="148">
        <v>0</v>
      </c>
      <c r="R429" s="148">
        <v>0</v>
      </c>
      <c r="S429" s="148">
        <v>0</v>
      </c>
      <c r="T429" s="148">
        <v>0</v>
      </c>
      <c r="U429" s="148">
        <v>0</v>
      </c>
      <c r="V429" s="148">
        <v>0</v>
      </c>
      <c r="W429" s="148">
        <v>28685.7240205161</v>
      </c>
      <c r="X429" s="148">
        <v>0</v>
      </c>
      <c r="Y429" s="148">
        <v>0</v>
      </c>
      <c r="Z429" s="148">
        <v>0</v>
      </c>
      <c r="AA429" s="148"/>
      <c r="AB429" s="148">
        <v>0</v>
      </c>
      <c r="AC429" s="148">
        <v>0</v>
      </c>
      <c r="AD429" s="148">
        <v>0</v>
      </c>
      <c r="AE429" s="148">
        <v>0</v>
      </c>
      <c r="AF429" s="148">
        <v>0</v>
      </c>
      <c r="AG429" s="148">
        <v>0</v>
      </c>
      <c r="AH429" s="148">
        <v>0</v>
      </c>
      <c r="AI429" s="148">
        <v>0</v>
      </c>
      <c r="AJ429" s="148">
        <v>41117.813138296398</v>
      </c>
      <c r="AK429" s="148">
        <v>0</v>
      </c>
      <c r="AL429" s="148">
        <v>0</v>
      </c>
      <c r="AM429" s="148">
        <v>0</v>
      </c>
      <c r="AN429" s="148"/>
    </row>
    <row r="430" spans="1:40" ht="10.199999999999999" x14ac:dyDescent="0.2">
      <c r="A430" s="147" t="s">
        <v>830</v>
      </c>
      <c r="B430" s="148">
        <v>0</v>
      </c>
      <c r="C430" s="148">
        <v>0</v>
      </c>
      <c r="D430" s="148">
        <v>0</v>
      </c>
      <c r="E430" s="148">
        <v>0</v>
      </c>
      <c r="F430" s="148">
        <v>0</v>
      </c>
      <c r="G430" s="148">
        <v>0</v>
      </c>
      <c r="H430" s="148">
        <v>0</v>
      </c>
      <c r="I430" s="148">
        <v>0</v>
      </c>
      <c r="J430" s="148">
        <v>0</v>
      </c>
      <c r="K430" s="148">
        <v>0</v>
      </c>
      <c r="L430" s="148">
        <v>0</v>
      </c>
      <c r="M430" s="148">
        <v>1</v>
      </c>
      <c r="N430" s="148"/>
      <c r="O430" s="148">
        <v>0</v>
      </c>
      <c r="P430" s="148">
        <v>0</v>
      </c>
      <c r="Q430" s="148">
        <v>0</v>
      </c>
      <c r="R430" s="148">
        <v>0</v>
      </c>
      <c r="S430" s="148">
        <v>0</v>
      </c>
      <c r="T430" s="148">
        <v>0</v>
      </c>
      <c r="U430" s="148">
        <v>0</v>
      </c>
      <c r="V430" s="148">
        <v>0</v>
      </c>
      <c r="W430" s="148">
        <v>0</v>
      </c>
      <c r="X430" s="148">
        <v>0</v>
      </c>
      <c r="Y430" s="148">
        <v>0</v>
      </c>
      <c r="Z430" s="148">
        <v>1</v>
      </c>
      <c r="AA430" s="148"/>
      <c r="AB430" s="148">
        <v>0</v>
      </c>
      <c r="AC430" s="148">
        <v>0</v>
      </c>
      <c r="AD430" s="148">
        <v>0</v>
      </c>
      <c r="AE430" s="148">
        <v>0</v>
      </c>
      <c r="AF430" s="148">
        <v>0</v>
      </c>
      <c r="AG430" s="148">
        <v>0</v>
      </c>
      <c r="AH430" s="148">
        <v>0</v>
      </c>
      <c r="AI430" s="148">
        <v>0</v>
      </c>
      <c r="AJ430" s="148">
        <v>0</v>
      </c>
      <c r="AK430" s="148">
        <v>0</v>
      </c>
      <c r="AL430" s="148">
        <v>0</v>
      </c>
      <c r="AM430" s="148">
        <v>1</v>
      </c>
      <c r="AN430" s="148"/>
    </row>
    <row r="431" spans="1:40" ht="10.199999999999999" x14ac:dyDescent="0.2">
      <c r="A431" s="147" t="s">
        <v>831</v>
      </c>
      <c r="B431" s="148">
        <v>0</v>
      </c>
      <c r="C431" s="148">
        <v>0</v>
      </c>
      <c r="D431" s="148">
        <v>0</v>
      </c>
      <c r="E431" s="148">
        <v>0</v>
      </c>
      <c r="F431" s="148">
        <v>0</v>
      </c>
      <c r="G431" s="148">
        <v>0</v>
      </c>
      <c r="H431" s="148">
        <v>0</v>
      </c>
      <c r="I431" s="148">
        <v>0</v>
      </c>
      <c r="J431" s="148">
        <v>0</v>
      </c>
      <c r="K431" s="148">
        <v>0</v>
      </c>
      <c r="L431" s="148">
        <v>0</v>
      </c>
      <c r="M431" s="148">
        <v>1371.80744068268</v>
      </c>
      <c r="N431" s="148"/>
      <c r="O431" s="148">
        <v>0</v>
      </c>
      <c r="P431" s="148">
        <v>0</v>
      </c>
      <c r="Q431" s="148">
        <v>0</v>
      </c>
      <c r="R431" s="148">
        <v>0</v>
      </c>
      <c r="S431" s="148">
        <v>0</v>
      </c>
      <c r="T431" s="148">
        <v>0</v>
      </c>
      <c r="U431" s="148">
        <v>0</v>
      </c>
      <c r="V431" s="148">
        <v>0</v>
      </c>
      <c r="W431" s="148">
        <v>0</v>
      </c>
      <c r="X431" s="148">
        <v>0</v>
      </c>
      <c r="Y431" s="148">
        <v>0</v>
      </c>
      <c r="Z431" s="148">
        <v>26150.9681216877</v>
      </c>
      <c r="AA431" s="148"/>
      <c r="AB431" s="148">
        <v>0</v>
      </c>
      <c r="AC431" s="148">
        <v>0</v>
      </c>
      <c r="AD431" s="148">
        <v>0</v>
      </c>
      <c r="AE431" s="148">
        <v>0</v>
      </c>
      <c r="AF431" s="148">
        <v>0</v>
      </c>
      <c r="AG431" s="148">
        <v>0</v>
      </c>
      <c r="AH431" s="148">
        <v>0</v>
      </c>
      <c r="AI431" s="148">
        <v>0</v>
      </c>
      <c r="AJ431" s="148">
        <v>0</v>
      </c>
      <c r="AK431" s="148">
        <v>0</v>
      </c>
      <c r="AL431" s="148">
        <v>0</v>
      </c>
      <c r="AM431" s="148">
        <v>37595.170013872601</v>
      </c>
      <c r="AN431" s="148"/>
    </row>
    <row r="432" spans="1:40" ht="10.199999999999999" x14ac:dyDescent="0.2">
      <c r="A432" s="147" t="s">
        <v>832</v>
      </c>
      <c r="B432" s="148">
        <v>0</v>
      </c>
      <c r="C432" s="148">
        <v>0</v>
      </c>
      <c r="D432" s="148">
        <v>0</v>
      </c>
      <c r="E432" s="148">
        <v>0</v>
      </c>
      <c r="F432" s="148">
        <v>0</v>
      </c>
      <c r="G432" s="148">
        <v>0</v>
      </c>
      <c r="H432" s="148">
        <v>0</v>
      </c>
      <c r="I432" s="148">
        <v>0</v>
      </c>
      <c r="J432" s="148">
        <v>0</v>
      </c>
      <c r="K432" s="148">
        <v>0</v>
      </c>
      <c r="L432" s="148">
        <v>0</v>
      </c>
      <c r="M432" s="148">
        <v>1371.80744068268</v>
      </c>
      <c r="N432" s="148"/>
      <c r="O432" s="148">
        <v>0</v>
      </c>
      <c r="P432" s="148">
        <v>0</v>
      </c>
      <c r="Q432" s="148">
        <v>0</v>
      </c>
      <c r="R432" s="148">
        <v>0</v>
      </c>
      <c r="S432" s="148">
        <v>0</v>
      </c>
      <c r="T432" s="148">
        <v>0</v>
      </c>
      <c r="U432" s="148">
        <v>0</v>
      </c>
      <c r="V432" s="148">
        <v>0</v>
      </c>
      <c r="W432" s="148">
        <v>0</v>
      </c>
      <c r="X432" s="148">
        <v>0</v>
      </c>
      <c r="Y432" s="148">
        <v>0</v>
      </c>
      <c r="Z432" s="148">
        <v>26150.9681216877</v>
      </c>
      <c r="AA432" s="148"/>
      <c r="AB432" s="148">
        <v>0</v>
      </c>
      <c r="AC432" s="148">
        <v>0</v>
      </c>
      <c r="AD432" s="148">
        <v>0</v>
      </c>
      <c r="AE432" s="148">
        <v>0</v>
      </c>
      <c r="AF432" s="148">
        <v>0</v>
      </c>
      <c r="AG432" s="148">
        <v>0</v>
      </c>
      <c r="AH432" s="148">
        <v>0</v>
      </c>
      <c r="AI432" s="148">
        <v>0</v>
      </c>
      <c r="AJ432" s="148">
        <v>0</v>
      </c>
      <c r="AK432" s="148">
        <v>0</v>
      </c>
      <c r="AL432" s="148">
        <v>0</v>
      </c>
      <c r="AM432" s="148">
        <v>37595.170013872601</v>
      </c>
      <c r="AN432" s="148"/>
    </row>
    <row r="433" spans="1:40" ht="10.199999999999999" x14ac:dyDescent="0.2">
      <c r="A433" s="147" t="s">
        <v>833</v>
      </c>
      <c r="B433" s="148">
        <v>0</v>
      </c>
      <c r="C433" s="148">
        <v>0</v>
      </c>
      <c r="D433" s="148">
        <v>0</v>
      </c>
      <c r="E433" s="148">
        <v>0</v>
      </c>
      <c r="F433" s="148">
        <v>0</v>
      </c>
      <c r="G433" s="148">
        <v>0</v>
      </c>
      <c r="H433" s="148">
        <v>0</v>
      </c>
      <c r="I433" s="148">
        <v>0</v>
      </c>
      <c r="J433" s="148">
        <v>0</v>
      </c>
      <c r="K433" s="148">
        <v>0</v>
      </c>
      <c r="L433" s="148">
        <v>0</v>
      </c>
      <c r="M433" s="148">
        <v>0</v>
      </c>
      <c r="N433" s="148"/>
      <c r="O433" s="148">
        <v>0</v>
      </c>
      <c r="P433" s="148">
        <v>0</v>
      </c>
      <c r="Q433" s="148">
        <v>0</v>
      </c>
      <c r="R433" s="148">
        <v>0</v>
      </c>
      <c r="S433" s="148">
        <v>0</v>
      </c>
      <c r="T433" s="148">
        <v>0</v>
      </c>
      <c r="U433" s="148">
        <v>0</v>
      </c>
      <c r="V433" s="148">
        <v>0</v>
      </c>
      <c r="W433" s="148">
        <v>0</v>
      </c>
      <c r="X433" s="148">
        <v>0</v>
      </c>
      <c r="Y433" s="148">
        <v>0</v>
      </c>
      <c r="Z433" s="148">
        <v>0</v>
      </c>
      <c r="AA433" s="148"/>
      <c r="AB433" s="148">
        <v>0</v>
      </c>
      <c r="AC433" s="148">
        <v>0</v>
      </c>
      <c r="AD433" s="148">
        <v>0</v>
      </c>
      <c r="AE433" s="148">
        <v>0</v>
      </c>
      <c r="AF433" s="148">
        <v>0</v>
      </c>
      <c r="AG433" s="148">
        <v>0</v>
      </c>
      <c r="AH433" s="148">
        <v>0</v>
      </c>
      <c r="AI433" s="148">
        <v>0</v>
      </c>
      <c r="AJ433" s="148">
        <v>0</v>
      </c>
      <c r="AK433" s="148">
        <v>0</v>
      </c>
      <c r="AL433" s="148">
        <v>0</v>
      </c>
      <c r="AM433" s="148">
        <v>0</v>
      </c>
      <c r="AN433" s="148"/>
    </row>
    <row r="434" spans="1:40" ht="10.199999999999999" x14ac:dyDescent="0.2">
      <c r="A434" s="147" t="s">
        <v>834</v>
      </c>
      <c r="B434" s="148">
        <v>0</v>
      </c>
      <c r="C434" s="148">
        <v>0</v>
      </c>
      <c r="D434" s="148">
        <v>0</v>
      </c>
      <c r="E434" s="148">
        <v>28370.278867213499</v>
      </c>
      <c r="F434" s="148">
        <v>0</v>
      </c>
      <c r="G434" s="148">
        <v>6431.4557043135601</v>
      </c>
      <c r="H434" s="148">
        <v>0</v>
      </c>
      <c r="I434" s="148">
        <v>0</v>
      </c>
      <c r="J434" s="148">
        <v>8003.2031661092697</v>
      </c>
      <c r="K434" s="148">
        <v>0</v>
      </c>
      <c r="L434" s="148">
        <v>0</v>
      </c>
      <c r="M434" s="148">
        <v>1371.80744068268</v>
      </c>
      <c r="N434" s="148"/>
      <c r="O434" s="148">
        <v>0</v>
      </c>
      <c r="P434" s="148">
        <v>0</v>
      </c>
      <c r="Q434" s="148">
        <v>0</v>
      </c>
      <c r="R434" s="148">
        <v>50315.892605392502</v>
      </c>
      <c r="S434" s="148">
        <v>0</v>
      </c>
      <c r="T434" s="148">
        <v>29948.957208080799</v>
      </c>
      <c r="U434" s="148">
        <v>0</v>
      </c>
      <c r="V434" s="148">
        <v>0</v>
      </c>
      <c r="W434" s="148">
        <v>28685.7240205161</v>
      </c>
      <c r="X434" s="148">
        <v>0</v>
      </c>
      <c r="Y434" s="148">
        <v>0</v>
      </c>
      <c r="Z434" s="148">
        <v>26150.9681216877</v>
      </c>
      <c r="AA434" s="148"/>
      <c r="AB434" s="148">
        <v>0</v>
      </c>
      <c r="AC434" s="148">
        <v>0</v>
      </c>
      <c r="AD434" s="148">
        <v>0</v>
      </c>
      <c r="AE434" s="148">
        <v>68593.803514435494</v>
      </c>
      <c r="AF434" s="148">
        <v>0</v>
      </c>
      <c r="AG434" s="148">
        <v>45828.757972690197</v>
      </c>
      <c r="AH434" s="148">
        <v>0</v>
      </c>
      <c r="AI434" s="148">
        <v>0</v>
      </c>
      <c r="AJ434" s="148">
        <v>41117.813138296398</v>
      </c>
      <c r="AK434" s="148">
        <v>0</v>
      </c>
      <c r="AL434" s="148">
        <v>0</v>
      </c>
      <c r="AM434" s="148">
        <v>37595.170013872601</v>
      </c>
      <c r="AN434" s="148"/>
    </row>
    <row r="435" spans="1:40" ht="10.199999999999999" x14ac:dyDescent="0.2">
      <c r="A435" s="151" t="s">
        <v>835</v>
      </c>
      <c r="B435" s="152">
        <v>0</v>
      </c>
      <c r="C435" s="152">
        <v>0</v>
      </c>
      <c r="D435" s="152">
        <v>0</v>
      </c>
      <c r="E435" s="152">
        <v>0.25</v>
      </c>
      <c r="F435" s="152">
        <v>0</v>
      </c>
      <c r="G435" s="152">
        <v>0.5</v>
      </c>
      <c r="H435" s="152">
        <v>0</v>
      </c>
      <c r="I435" s="152">
        <v>0</v>
      </c>
      <c r="J435" s="152">
        <v>0.75</v>
      </c>
      <c r="K435" s="152">
        <v>0</v>
      </c>
      <c r="L435" s="152">
        <v>0</v>
      </c>
      <c r="M435" s="152">
        <v>1</v>
      </c>
      <c r="N435" s="152"/>
      <c r="O435" s="152">
        <v>0</v>
      </c>
      <c r="P435" s="152">
        <v>0</v>
      </c>
      <c r="Q435" s="152">
        <v>0</v>
      </c>
      <c r="R435" s="152">
        <v>0.25</v>
      </c>
      <c r="S435" s="152">
        <v>0</v>
      </c>
      <c r="T435" s="152">
        <v>0.5</v>
      </c>
      <c r="U435" s="152">
        <v>0</v>
      </c>
      <c r="V435" s="152">
        <v>0</v>
      </c>
      <c r="W435" s="152">
        <v>0.75</v>
      </c>
      <c r="X435" s="152">
        <v>0</v>
      </c>
      <c r="Y435" s="152">
        <v>0</v>
      </c>
      <c r="Z435" s="152">
        <v>1</v>
      </c>
      <c r="AA435" s="152"/>
      <c r="AB435" s="152">
        <v>0</v>
      </c>
      <c r="AC435" s="152">
        <v>0</v>
      </c>
      <c r="AD435" s="152">
        <v>0</v>
      </c>
      <c r="AE435" s="152">
        <v>0.25</v>
      </c>
      <c r="AF435" s="152">
        <v>0</v>
      </c>
      <c r="AG435" s="152">
        <v>0.5</v>
      </c>
      <c r="AH435" s="152">
        <v>0</v>
      </c>
      <c r="AI435" s="152">
        <v>0</v>
      </c>
      <c r="AJ435" s="152">
        <v>0.75</v>
      </c>
      <c r="AK435" s="152">
        <v>0</v>
      </c>
      <c r="AL435" s="152">
        <v>0</v>
      </c>
      <c r="AM435" s="152">
        <v>1</v>
      </c>
      <c r="AN435" s="152"/>
    </row>
    <row r="436" spans="1:40" ht="10.199999999999999" x14ac:dyDescent="0.2">
      <c r="A436" s="147" t="s">
        <v>836</v>
      </c>
      <c r="B436" s="148">
        <v>0</v>
      </c>
      <c r="C436" s="148">
        <v>0</v>
      </c>
      <c r="D436" s="148">
        <v>0</v>
      </c>
      <c r="E436" s="148">
        <v>7092.5697168033903</v>
      </c>
      <c r="F436" s="148">
        <v>0</v>
      </c>
      <c r="G436" s="148">
        <v>3215.72785215678</v>
      </c>
      <c r="H436" s="148">
        <v>0</v>
      </c>
      <c r="I436" s="148">
        <v>0</v>
      </c>
      <c r="J436" s="148">
        <v>6002.4023745819504</v>
      </c>
      <c r="K436" s="148">
        <v>0</v>
      </c>
      <c r="L436" s="148">
        <v>0</v>
      </c>
      <c r="M436" s="148">
        <v>1371.80744068268</v>
      </c>
      <c r="N436" s="148"/>
      <c r="O436" s="148">
        <v>0</v>
      </c>
      <c r="P436" s="148">
        <v>0</v>
      </c>
      <c r="Q436" s="148">
        <v>0</v>
      </c>
      <c r="R436" s="148">
        <v>12578.9731513481</v>
      </c>
      <c r="S436" s="148">
        <v>0</v>
      </c>
      <c r="T436" s="148">
        <v>14974.4786040404</v>
      </c>
      <c r="U436" s="148">
        <v>0</v>
      </c>
      <c r="V436" s="148">
        <v>0</v>
      </c>
      <c r="W436" s="148">
        <v>21514.293015387098</v>
      </c>
      <c r="X436" s="148">
        <v>0</v>
      </c>
      <c r="Y436" s="148">
        <v>0</v>
      </c>
      <c r="Z436" s="148">
        <v>26150.9681216877</v>
      </c>
      <c r="AA436" s="148"/>
      <c r="AB436" s="148">
        <v>0</v>
      </c>
      <c r="AC436" s="148">
        <v>0</v>
      </c>
      <c r="AD436" s="148">
        <v>0</v>
      </c>
      <c r="AE436" s="148">
        <v>17148.450878608801</v>
      </c>
      <c r="AF436" s="148">
        <v>0</v>
      </c>
      <c r="AG436" s="148">
        <v>22914.378986345098</v>
      </c>
      <c r="AH436" s="148">
        <v>0</v>
      </c>
      <c r="AI436" s="148">
        <v>0</v>
      </c>
      <c r="AJ436" s="148">
        <v>30838.359853722301</v>
      </c>
      <c r="AK436" s="148">
        <v>0</v>
      </c>
      <c r="AL436" s="148">
        <v>0</v>
      </c>
      <c r="AM436" s="148">
        <v>37595.170013872601</v>
      </c>
      <c r="AN436" s="148"/>
    </row>
    <row r="437" spans="1:40" ht="10.199999999999999" x14ac:dyDescent="0.2">
      <c r="A437" s="147" t="s">
        <v>837</v>
      </c>
      <c r="B437" s="148">
        <v>0</v>
      </c>
      <c r="C437" s="148">
        <v>0</v>
      </c>
      <c r="D437" s="148">
        <v>0</v>
      </c>
      <c r="E437" s="148">
        <v>0</v>
      </c>
      <c r="F437" s="148">
        <v>0</v>
      </c>
      <c r="G437" s="148">
        <v>-8159.6989999999996</v>
      </c>
      <c r="H437" s="148">
        <v>0</v>
      </c>
      <c r="I437" s="148">
        <v>0</v>
      </c>
      <c r="J437" s="148">
        <v>-7027.6179999999904</v>
      </c>
      <c r="K437" s="148">
        <v>0</v>
      </c>
      <c r="L437" s="148">
        <v>0</v>
      </c>
      <c r="M437" s="148">
        <v>-6002.4023745819504</v>
      </c>
      <c r="N437" s="148"/>
      <c r="O437" s="148">
        <v>0</v>
      </c>
      <c r="P437" s="148">
        <v>0</v>
      </c>
      <c r="Q437" s="148">
        <v>0</v>
      </c>
      <c r="R437" s="148">
        <v>0</v>
      </c>
      <c r="S437" s="148">
        <v>0</v>
      </c>
      <c r="T437" s="148">
        <v>-12578.9731513481</v>
      </c>
      <c r="U437" s="148">
        <v>0</v>
      </c>
      <c r="V437" s="148">
        <v>0</v>
      </c>
      <c r="W437" s="148">
        <v>-14974.4786040404</v>
      </c>
      <c r="X437" s="148">
        <v>0</v>
      </c>
      <c r="Y437" s="148">
        <v>0</v>
      </c>
      <c r="Z437" s="148">
        <v>-21514.293015387098</v>
      </c>
      <c r="AA437" s="148"/>
      <c r="AB437" s="148">
        <v>0</v>
      </c>
      <c r="AC437" s="148">
        <v>0</v>
      </c>
      <c r="AD437" s="148">
        <v>0</v>
      </c>
      <c r="AE437" s="148">
        <v>0</v>
      </c>
      <c r="AF437" s="148">
        <v>0</v>
      </c>
      <c r="AG437" s="148">
        <v>-17148.450878608801</v>
      </c>
      <c r="AH437" s="148">
        <v>0</v>
      </c>
      <c r="AI437" s="148">
        <v>0</v>
      </c>
      <c r="AJ437" s="148">
        <v>-22914.378986345098</v>
      </c>
      <c r="AK437" s="148">
        <v>0</v>
      </c>
      <c r="AL437" s="148">
        <v>0</v>
      </c>
      <c r="AM437" s="148">
        <v>-30838.359853722301</v>
      </c>
      <c r="AN437" s="148"/>
    </row>
    <row r="438" spans="1:40" ht="10.199999999999999" x14ac:dyDescent="0.2">
      <c r="A438" s="147" t="s">
        <v>838</v>
      </c>
      <c r="B438" s="148">
        <v>0</v>
      </c>
      <c r="C438" s="148">
        <v>0</v>
      </c>
      <c r="D438" s="148">
        <v>0</v>
      </c>
      <c r="E438" s="148">
        <v>0</v>
      </c>
      <c r="F438" s="148">
        <v>0</v>
      </c>
      <c r="G438" s="148">
        <v>0</v>
      </c>
      <c r="H438" s="148">
        <v>0</v>
      </c>
      <c r="I438" s="148">
        <v>0</v>
      </c>
      <c r="J438" s="148">
        <v>0</v>
      </c>
      <c r="K438" s="148">
        <v>0</v>
      </c>
      <c r="L438" s="148">
        <v>0</v>
      </c>
      <c r="M438" s="148">
        <v>0</v>
      </c>
      <c r="N438" s="148"/>
      <c r="O438" s="148">
        <v>0</v>
      </c>
      <c r="P438" s="148">
        <v>0</v>
      </c>
      <c r="Q438" s="148">
        <v>0</v>
      </c>
      <c r="R438" s="148">
        <v>0</v>
      </c>
      <c r="S438" s="148">
        <v>0</v>
      </c>
      <c r="T438" s="148">
        <v>0</v>
      </c>
      <c r="U438" s="148">
        <v>0</v>
      </c>
      <c r="V438" s="148">
        <v>0</v>
      </c>
      <c r="W438" s="148">
        <v>0</v>
      </c>
      <c r="X438" s="148">
        <v>0</v>
      </c>
      <c r="Y438" s="148">
        <v>0</v>
      </c>
      <c r="Z438" s="148">
        <v>0</v>
      </c>
      <c r="AA438" s="148"/>
      <c r="AB438" s="148">
        <v>0</v>
      </c>
      <c r="AC438" s="148">
        <v>0</v>
      </c>
      <c r="AD438" s="148">
        <v>0</v>
      </c>
      <c r="AE438" s="148">
        <v>0</v>
      </c>
      <c r="AF438" s="148">
        <v>0</v>
      </c>
      <c r="AG438" s="148">
        <v>0</v>
      </c>
      <c r="AH438" s="148">
        <v>0</v>
      </c>
      <c r="AI438" s="148">
        <v>0</v>
      </c>
      <c r="AJ438" s="148">
        <v>0</v>
      </c>
      <c r="AK438" s="148">
        <v>0</v>
      </c>
      <c r="AL438" s="148">
        <v>0</v>
      </c>
      <c r="AM438" s="148">
        <v>0</v>
      </c>
      <c r="AN438" s="148"/>
    </row>
    <row r="439" spans="1:40" ht="10.199999999999999" x14ac:dyDescent="0.2">
      <c r="A439" s="147" t="s">
        <v>839</v>
      </c>
      <c r="B439" s="148">
        <v>0</v>
      </c>
      <c r="C439" s="148">
        <v>0</v>
      </c>
      <c r="D439" s="148">
        <v>0</v>
      </c>
      <c r="E439" s="148">
        <v>0</v>
      </c>
      <c r="F439" s="148">
        <v>0</v>
      </c>
      <c r="G439" s="148">
        <v>0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8">
        <v>0</v>
      </c>
      <c r="N439" s="148"/>
      <c r="O439" s="148">
        <v>0</v>
      </c>
      <c r="P439" s="148">
        <v>0</v>
      </c>
      <c r="Q439" s="148">
        <v>0</v>
      </c>
      <c r="R439" s="148">
        <v>0</v>
      </c>
      <c r="S439" s="148">
        <v>0</v>
      </c>
      <c r="T439" s="148">
        <v>0</v>
      </c>
      <c r="U439" s="148">
        <v>0</v>
      </c>
      <c r="V439" s="148">
        <v>0</v>
      </c>
      <c r="W439" s="148">
        <v>0</v>
      </c>
      <c r="X439" s="148">
        <v>0</v>
      </c>
      <c r="Y439" s="148">
        <v>0</v>
      </c>
      <c r="Z439" s="148">
        <v>0</v>
      </c>
      <c r="AA439" s="148"/>
      <c r="AB439" s="148">
        <v>0</v>
      </c>
      <c r="AC439" s="148">
        <v>0</v>
      </c>
      <c r="AD439" s="148">
        <v>0</v>
      </c>
      <c r="AE439" s="148">
        <v>0</v>
      </c>
      <c r="AF439" s="148">
        <v>0</v>
      </c>
      <c r="AG439" s="148">
        <v>0</v>
      </c>
      <c r="AH439" s="148">
        <v>0</v>
      </c>
      <c r="AI439" s="148">
        <v>0</v>
      </c>
      <c r="AJ439" s="148">
        <v>0</v>
      </c>
      <c r="AK439" s="148">
        <v>0</v>
      </c>
      <c r="AL439" s="148">
        <v>0</v>
      </c>
      <c r="AM439" s="148">
        <v>0</v>
      </c>
      <c r="AN439" s="148"/>
    </row>
    <row r="440" spans="1:40" ht="14.4" x14ac:dyDescent="0.3">
      <c r="A440" s="147" t="s">
        <v>840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</row>
    <row r="441" spans="1:40" ht="10.199999999999999" x14ac:dyDescent="0.2">
      <c r="A441" s="147" t="s">
        <v>841</v>
      </c>
      <c r="B441" s="148">
        <v>0</v>
      </c>
      <c r="C441" s="148">
        <v>0</v>
      </c>
      <c r="D441" s="148">
        <v>0</v>
      </c>
      <c r="E441" s="148">
        <v>0</v>
      </c>
      <c r="F441" s="148">
        <v>0</v>
      </c>
      <c r="G441" s="148">
        <v>0</v>
      </c>
      <c r="H441" s="148">
        <v>0</v>
      </c>
      <c r="I441" s="148">
        <v>0</v>
      </c>
      <c r="J441" s="148">
        <v>0</v>
      </c>
      <c r="K441" s="148">
        <v>0</v>
      </c>
      <c r="L441" s="148">
        <v>0</v>
      </c>
      <c r="M441" s="148">
        <v>0</v>
      </c>
      <c r="N441" s="148"/>
      <c r="O441" s="148">
        <v>0</v>
      </c>
      <c r="P441" s="148">
        <v>0</v>
      </c>
      <c r="Q441" s="148">
        <v>0</v>
      </c>
      <c r="R441" s="148">
        <v>0</v>
      </c>
      <c r="S441" s="148">
        <v>0</v>
      </c>
      <c r="T441" s="148">
        <v>0</v>
      </c>
      <c r="U441" s="148">
        <v>0</v>
      </c>
      <c r="V441" s="148">
        <v>0</v>
      </c>
      <c r="W441" s="148">
        <v>0</v>
      </c>
      <c r="X441" s="148">
        <v>0</v>
      </c>
      <c r="Y441" s="148">
        <v>0</v>
      </c>
      <c r="Z441" s="148">
        <v>0</v>
      </c>
      <c r="AA441" s="148"/>
      <c r="AB441" s="148">
        <v>0</v>
      </c>
      <c r="AC441" s="148">
        <v>0</v>
      </c>
      <c r="AD441" s="148">
        <v>0</v>
      </c>
      <c r="AE441" s="148">
        <v>0</v>
      </c>
      <c r="AF441" s="148">
        <v>0</v>
      </c>
      <c r="AG441" s="148">
        <v>0</v>
      </c>
      <c r="AH441" s="148">
        <v>0</v>
      </c>
      <c r="AI441" s="148">
        <v>0</v>
      </c>
      <c r="AJ441" s="148">
        <v>0</v>
      </c>
      <c r="AK441" s="148">
        <v>0</v>
      </c>
      <c r="AL441" s="148">
        <v>0</v>
      </c>
      <c r="AM441" s="148">
        <v>0</v>
      </c>
      <c r="AN441" s="148"/>
    </row>
    <row r="442" spans="1:40" ht="10.199999999999999" x14ac:dyDescent="0.2">
      <c r="A442" s="147" t="s">
        <v>842</v>
      </c>
      <c r="B442" s="148">
        <v>0</v>
      </c>
      <c r="C442" s="148">
        <v>0</v>
      </c>
      <c r="D442" s="148">
        <v>0</v>
      </c>
      <c r="E442" s="148">
        <v>0</v>
      </c>
      <c r="F442" s="148">
        <v>0</v>
      </c>
      <c r="G442" s="148">
        <v>0</v>
      </c>
      <c r="H442" s="148">
        <v>0</v>
      </c>
      <c r="I442" s="148">
        <v>0</v>
      </c>
      <c r="J442" s="148">
        <v>0</v>
      </c>
      <c r="K442" s="148">
        <v>0</v>
      </c>
      <c r="L442" s="148">
        <v>0</v>
      </c>
      <c r="M442" s="148">
        <v>0</v>
      </c>
      <c r="N442" s="148"/>
      <c r="O442" s="148">
        <v>0</v>
      </c>
      <c r="P442" s="148">
        <v>0</v>
      </c>
      <c r="Q442" s="148">
        <v>0</v>
      </c>
      <c r="R442" s="148">
        <v>0</v>
      </c>
      <c r="S442" s="148">
        <v>0</v>
      </c>
      <c r="T442" s="148">
        <v>0</v>
      </c>
      <c r="U442" s="148">
        <v>0</v>
      </c>
      <c r="V442" s="148">
        <v>0</v>
      </c>
      <c r="W442" s="148">
        <v>0</v>
      </c>
      <c r="X442" s="148">
        <v>0</v>
      </c>
      <c r="Y442" s="148">
        <v>0</v>
      </c>
      <c r="Z442" s="148">
        <v>0</v>
      </c>
      <c r="AA442" s="148"/>
      <c r="AB442" s="148">
        <v>0</v>
      </c>
      <c r="AC442" s="148">
        <v>0</v>
      </c>
      <c r="AD442" s="148">
        <v>0</v>
      </c>
      <c r="AE442" s="148">
        <v>0</v>
      </c>
      <c r="AF442" s="148">
        <v>0</v>
      </c>
      <c r="AG442" s="148">
        <v>0</v>
      </c>
      <c r="AH442" s="148">
        <v>0</v>
      </c>
      <c r="AI442" s="148">
        <v>0</v>
      </c>
      <c r="AJ442" s="148">
        <v>0</v>
      </c>
      <c r="AK442" s="148">
        <v>0</v>
      </c>
      <c r="AL442" s="148">
        <v>0</v>
      </c>
      <c r="AM442" s="148">
        <v>0</v>
      </c>
      <c r="AN442" s="148"/>
    </row>
    <row r="443" spans="1:40" ht="10.199999999999999" x14ac:dyDescent="0.2">
      <c r="A443" s="147" t="s">
        <v>843</v>
      </c>
      <c r="B443" s="148">
        <v>0</v>
      </c>
      <c r="C443" s="148">
        <v>0</v>
      </c>
      <c r="D443" s="148">
        <v>0</v>
      </c>
      <c r="E443" s="148">
        <v>0</v>
      </c>
      <c r="F443" s="148">
        <v>0</v>
      </c>
      <c r="G443" s="148">
        <v>0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8">
        <v>0</v>
      </c>
      <c r="N443" s="148"/>
      <c r="O443" s="148">
        <v>0</v>
      </c>
      <c r="P443" s="148">
        <v>0</v>
      </c>
      <c r="Q443" s="148">
        <v>0</v>
      </c>
      <c r="R443" s="148">
        <v>0</v>
      </c>
      <c r="S443" s="148">
        <v>0</v>
      </c>
      <c r="T443" s="148">
        <v>0</v>
      </c>
      <c r="U443" s="148">
        <v>0</v>
      </c>
      <c r="V443" s="148">
        <v>0</v>
      </c>
      <c r="W443" s="148">
        <v>0</v>
      </c>
      <c r="X443" s="148">
        <v>0</v>
      </c>
      <c r="Y443" s="148">
        <v>0</v>
      </c>
      <c r="Z443" s="148">
        <v>0</v>
      </c>
      <c r="AA443" s="148"/>
      <c r="AB443" s="148">
        <v>0</v>
      </c>
      <c r="AC443" s="148">
        <v>0</v>
      </c>
      <c r="AD443" s="148">
        <v>0</v>
      </c>
      <c r="AE443" s="148">
        <v>0</v>
      </c>
      <c r="AF443" s="148">
        <v>0</v>
      </c>
      <c r="AG443" s="148">
        <v>0</v>
      </c>
      <c r="AH443" s="148">
        <v>0</v>
      </c>
      <c r="AI443" s="148">
        <v>0</v>
      </c>
      <c r="AJ443" s="148">
        <v>0</v>
      </c>
      <c r="AK443" s="148">
        <v>0</v>
      </c>
      <c r="AL443" s="148">
        <v>0</v>
      </c>
      <c r="AM443" s="148">
        <v>0</v>
      </c>
      <c r="AN443" s="148"/>
    </row>
    <row r="444" spans="1:40" ht="10.199999999999999" x14ac:dyDescent="0.2">
      <c r="A444" s="147" t="s">
        <v>844</v>
      </c>
      <c r="B444" s="148">
        <v>0</v>
      </c>
      <c r="C444" s="148">
        <v>0</v>
      </c>
      <c r="D444" s="148">
        <v>0</v>
      </c>
      <c r="E444" s="148">
        <v>0</v>
      </c>
      <c r="F444" s="148">
        <v>0</v>
      </c>
      <c r="G444" s="148">
        <v>0</v>
      </c>
      <c r="H444" s="148">
        <v>0</v>
      </c>
      <c r="I444" s="148">
        <v>0</v>
      </c>
      <c r="J444" s="148">
        <v>0</v>
      </c>
      <c r="K444" s="148">
        <v>0</v>
      </c>
      <c r="L444" s="148">
        <v>0</v>
      </c>
      <c r="M444" s="148">
        <v>0</v>
      </c>
      <c r="N444" s="148"/>
      <c r="O444" s="148">
        <v>0</v>
      </c>
      <c r="P444" s="148">
        <v>0</v>
      </c>
      <c r="Q444" s="148">
        <v>0</v>
      </c>
      <c r="R444" s="148">
        <v>0</v>
      </c>
      <c r="S444" s="148">
        <v>0</v>
      </c>
      <c r="T444" s="148">
        <v>0</v>
      </c>
      <c r="U444" s="148">
        <v>0</v>
      </c>
      <c r="V444" s="148">
        <v>0</v>
      </c>
      <c r="W444" s="148">
        <v>0</v>
      </c>
      <c r="X444" s="148">
        <v>0</v>
      </c>
      <c r="Y444" s="148">
        <v>0</v>
      </c>
      <c r="Z444" s="148">
        <v>0</v>
      </c>
      <c r="AA444" s="148"/>
      <c r="AB444" s="148">
        <v>0</v>
      </c>
      <c r="AC444" s="148">
        <v>0</v>
      </c>
      <c r="AD444" s="148">
        <v>0</v>
      </c>
      <c r="AE444" s="148">
        <v>0</v>
      </c>
      <c r="AF444" s="148">
        <v>0</v>
      </c>
      <c r="AG444" s="148">
        <v>0</v>
      </c>
      <c r="AH444" s="148">
        <v>0</v>
      </c>
      <c r="AI444" s="148">
        <v>0</v>
      </c>
      <c r="AJ444" s="148">
        <v>0</v>
      </c>
      <c r="AK444" s="148">
        <v>0</v>
      </c>
      <c r="AL444" s="148">
        <v>0</v>
      </c>
      <c r="AM444" s="148">
        <v>0</v>
      </c>
      <c r="AN444" s="148"/>
    </row>
    <row r="445" spans="1:40" ht="10.199999999999999" x14ac:dyDescent="0.2">
      <c r="A445" s="147" t="s">
        <v>845</v>
      </c>
      <c r="B445" s="148">
        <v>1</v>
      </c>
      <c r="C445" s="148">
        <v>1</v>
      </c>
      <c r="D445" s="148">
        <v>1</v>
      </c>
      <c r="E445" s="148">
        <v>1</v>
      </c>
      <c r="F445" s="148">
        <v>1</v>
      </c>
      <c r="G445" s="148">
        <v>1</v>
      </c>
      <c r="H445" s="148">
        <v>1</v>
      </c>
      <c r="I445" s="148">
        <v>1</v>
      </c>
      <c r="J445" s="148">
        <v>1</v>
      </c>
      <c r="K445" s="148">
        <v>1</v>
      </c>
      <c r="L445" s="148">
        <v>1</v>
      </c>
      <c r="M445" s="148">
        <v>1</v>
      </c>
      <c r="N445" s="148"/>
      <c r="O445" s="148">
        <v>1</v>
      </c>
      <c r="P445" s="148">
        <v>1</v>
      </c>
      <c r="Q445" s="148">
        <v>1</v>
      </c>
      <c r="R445" s="148">
        <v>1</v>
      </c>
      <c r="S445" s="148">
        <v>1</v>
      </c>
      <c r="T445" s="148">
        <v>1</v>
      </c>
      <c r="U445" s="148">
        <v>1</v>
      </c>
      <c r="V445" s="148">
        <v>1</v>
      </c>
      <c r="W445" s="148">
        <v>1</v>
      </c>
      <c r="X445" s="148">
        <v>1</v>
      </c>
      <c r="Y445" s="148">
        <v>1</v>
      </c>
      <c r="Z445" s="148">
        <v>1</v>
      </c>
      <c r="AA445" s="148"/>
      <c r="AB445" s="148">
        <v>1</v>
      </c>
      <c r="AC445" s="148">
        <v>1</v>
      </c>
      <c r="AD445" s="148">
        <v>1</v>
      </c>
      <c r="AE445" s="148">
        <v>1</v>
      </c>
      <c r="AF445" s="148">
        <v>1</v>
      </c>
      <c r="AG445" s="148">
        <v>1</v>
      </c>
      <c r="AH445" s="148">
        <v>1</v>
      </c>
      <c r="AI445" s="148">
        <v>1</v>
      </c>
      <c r="AJ445" s="148">
        <v>1</v>
      </c>
      <c r="AK445" s="148">
        <v>1</v>
      </c>
      <c r="AL445" s="148">
        <v>1</v>
      </c>
      <c r="AM445" s="148">
        <v>1</v>
      </c>
      <c r="AN445" s="148"/>
    </row>
    <row r="446" spans="1:40" ht="10.199999999999999" x14ac:dyDescent="0.2">
      <c r="A446" s="147" t="s">
        <v>846</v>
      </c>
      <c r="B446" s="148">
        <v>0</v>
      </c>
      <c r="C446" s="148">
        <v>0</v>
      </c>
      <c r="D446" s="148">
        <v>0</v>
      </c>
      <c r="E446" s="148">
        <v>7092.5697168033903</v>
      </c>
      <c r="F446" s="148">
        <v>0</v>
      </c>
      <c r="G446" s="148">
        <v>-4943.97114784321</v>
      </c>
      <c r="H446" s="148">
        <v>0</v>
      </c>
      <c r="I446" s="148">
        <v>0</v>
      </c>
      <c r="J446" s="148">
        <v>-1025.21562541804</v>
      </c>
      <c r="K446" s="148">
        <v>0</v>
      </c>
      <c r="L446" s="148">
        <v>0</v>
      </c>
      <c r="M446" s="148">
        <v>-4630.5949338992696</v>
      </c>
      <c r="N446" s="148"/>
      <c r="O446" s="148">
        <v>0</v>
      </c>
      <c r="P446" s="148">
        <v>0</v>
      </c>
      <c r="Q446" s="148">
        <v>0</v>
      </c>
      <c r="R446" s="148">
        <v>12578.9731513481</v>
      </c>
      <c r="S446" s="148">
        <v>0</v>
      </c>
      <c r="T446" s="148">
        <v>2395.50545269228</v>
      </c>
      <c r="U446" s="148">
        <v>0</v>
      </c>
      <c r="V446" s="148">
        <v>0</v>
      </c>
      <c r="W446" s="148">
        <v>6539.8144113467097</v>
      </c>
      <c r="X446" s="148">
        <v>0</v>
      </c>
      <c r="Y446" s="148">
        <v>0</v>
      </c>
      <c r="Z446" s="148">
        <v>4636.6751063005604</v>
      </c>
      <c r="AA446" s="148"/>
      <c r="AB446" s="148">
        <v>0</v>
      </c>
      <c r="AC446" s="148">
        <v>0</v>
      </c>
      <c r="AD446" s="148">
        <v>0</v>
      </c>
      <c r="AE446" s="148">
        <v>17148.450878608801</v>
      </c>
      <c r="AF446" s="148">
        <v>0</v>
      </c>
      <c r="AG446" s="148">
        <v>5765.9281077362102</v>
      </c>
      <c r="AH446" s="148">
        <v>0</v>
      </c>
      <c r="AI446" s="148">
        <v>0</v>
      </c>
      <c r="AJ446" s="148">
        <v>7923.9808673772604</v>
      </c>
      <c r="AK446" s="148">
        <v>0</v>
      </c>
      <c r="AL446" s="148">
        <v>0</v>
      </c>
      <c r="AM446" s="148">
        <v>6756.8101601503004</v>
      </c>
      <c r="AN446" s="148"/>
    </row>
    <row r="447" spans="1:40" ht="10.199999999999999" x14ac:dyDescent="0.2">
      <c r="A447" s="147" t="s">
        <v>847</v>
      </c>
      <c r="B447" s="148">
        <v>0</v>
      </c>
      <c r="C447" s="148">
        <v>0</v>
      </c>
      <c r="D447" s="148">
        <v>0</v>
      </c>
      <c r="E447" s="148">
        <v>0</v>
      </c>
      <c r="F447" s="148">
        <v>0</v>
      </c>
      <c r="G447" s="148">
        <v>0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/>
      <c r="O447" s="148">
        <v>0</v>
      </c>
      <c r="P447" s="148">
        <v>0</v>
      </c>
      <c r="Q447" s="148">
        <v>0</v>
      </c>
      <c r="R447" s="148">
        <v>0</v>
      </c>
      <c r="S447" s="148">
        <v>0</v>
      </c>
      <c r="T447" s="148">
        <v>0</v>
      </c>
      <c r="U447" s="148">
        <v>0</v>
      </c>
      <c r="V447" s="148">
        <v>0</v>
      </c>
      <c r="W447" s="148">
        <v>0</v>
      </c>
      <c r="X447" s="148">
        <v>0</v>
      </c>
      <c r="Y447" s="148">
        <v>0</v>
      </c>
      <c r="Z447" s="148">
        <v>0</v>
      </c>
      <c r="AA447" s="148"/>
      <c r="AB447" s="148">
        <v>0</v>
      </c>
      <c r="AC447" s="148">
        <v>0</v>
      </c>
      <c r="AD447" s="148">
        <v>0</v>
      </c>
      <c r="AE447" s="148">
        <v>0</v>
      </c>
      <c r="AF447" s="148">
        <v>0</v>
      </c>
      <c r="AG447" s="148">
        <v>0</v>
      </c>
      <c r="AH447" s="148">
        <v>0</v>
      </c>
      <c r="AI447" s="148">
        <v>0</v>
      </c>
      <c r="AJ447" s="148">
        <v>0</v>
      </c>
      <c r="AK447" s="148">
        <v>0</v>
      </c>
      <c r="AL447" s="148">
        <v>0</v>
      </c>
      <c r="AM447" s="148">
        <v>0</v>
      </c>
      <c r="AN447" s="148"/>
    </row>
    <row r="448" spans="1:40" ht="10.199999999999999" x14ac:dyDescent="0.2">
      <c r="A448" s="147" t="s">
        <v>848</v>
      </c>
      <c r="B448" s="148">
        <v>0</v>
      </c>
      <c r="C448" s="148">
        <v>0</v>
      </c>
      <c r="D448" s="148">
        <v>0</v>
      </c>
      <c r="E448" s="148">
        <v>7092.5697168033903</v>
      </c>
      <c r="F448" s="148">
        <v>0</v>
      </c>
      <c r="G448" s="148">
        <v>-4943.97114784321</v>
      </c>
      <c r="H448" s="148">
        <v>0</v>
      </c>
      <c r="I448" s="148">
        <v>0</v>
      </c>
      <c r="J448" s="148">
        <v>-1025.21562541804</v>
      </c>
      <c r="K448" s="148">
        <v>0</v>
      </c>
      <c r="L448" s="148">
        <v>0</v>
      </c>
      <c r="M448" s="148">
        <v>-4630.5949338992696</v>
      </c>
      <c r="N448" s="148"/>
      <c r="O448" s="148">
        <v>0</v>
      </c>
      <c r="P448" s="148">
        <v>0</v>
      </c>
      <c r="Q448" s="148">
        <v>0</v>
      </c>
      <c r="R448" s="148">
        <v>12578.9731513481</v>
      </c>
      <c r="S448" s="148">
        <v>0</v>
      </c>
      <c r="T448" s="148">
        <v>2395.50545269228</v>
      </c>
      <c r="U448" s="148">
        <v>0</v>
      </c>
      <c r="V448" s="148">
        <v>0</v>
      </c>
      <c r="W448" s="148">
        <v>6539.8144113467097</v>
      </c>
      <c r="X448" s="148">
        <v>0</v>
      </c>
      <c r="Y448" s="148">
        <v>0</v>
      </c>
      <c r="Z448" s="148">
        <v>4636.6751063005604</v>
      </c>
      <c r="AA448" s="148"/>
      <c r="AB448" s="148">
        <v>0</v>
      </c>
      <c r="AC448" s="148">
        <v>0</v>
      </c>
      <c r="AD448" s="148">
        <v>0</v>
      </c>
      <c r="AE448" s="148">
        <v>17148.450878608801</v>
      </c>
      <c r="AF448" s="148">
        <v>0</v>
      </c>
      <c r="AG448" s="148">
        <v>5765.9281077362102</v>
      </c>
      <c r="AH448" s="148">
        <v>0</v>
      </c>
      <c r="AI448" s="148">
        <v>0</v>
      </c>
      <c r="AJ448" s="148">
        <v>7923.9808673772604</v>
      </c>
      <c r="AK448" s="148">
        <v>0</v>
      </c>
      <c r="AL448" s="148">
        <v>0</v>
      </c>
      <c r="AM448" s="148">
        <v>6756.8101601503004</v>
      </c>
      <c r="AN448" s="148"/>
    </row>
    <row r="449" spans="1:40" ht="14.4" x14ac:dyDescent="0.3">
      <c r="A449" s="147" t="s">
        <v>849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</row>
    <row r="450" spans="1:40" ht="14.4" x14ac:dyDescent="0.3">
      <c r="A450" s="146" t="s">
        <v>850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</row>
    <row r="451" spans="1:40" ht="10.199999999999999" x14ac:dyDescent="0.2">
      <c r="A451" s="147" t="s">
        <v>851</v>
      </c>
      <c r="B451" s="148">
        <v>1371.8074406784699</v>
      </c>
      <c r="C451" s="148">
        <v>1371.8074406784699</v>
      </c>
      <c r="D451" s="148">
        <v>1371.8074406784699</v>
      </c>
      <c r="E451" s="148">
        <v>1371.8074406784699</v>
      </c>
      <c r="F451" s="148">
        <v>1371.8074406784699</v>
      </c>
      <c r="G451" s="148">
        <v>1371.8074406784699</v>
      </c>
      <c r="H451" s="148">
        <v>1371.8074406784699</v>
      </c>
      <c r="I451" s="148">
        <v>1371.8074406784699</v>
      </c>
      <c r="J451" s="148">
        <v>1371.8074406784699</v>
      </c>
      <c r="K451" s="148">
        <v>1371.8074406784699</v>
      </c>
      <c r="L451" s="148">
        <v>1371.8074406784699</v>
      </c>
      <c r="M451" s="148">
        <v>1371.80744068268</v>
      </c>
      <c r="N451" s="148"/>
      <c r="O451" s="148">
        <v>26150.968120843201</v>
      </c>
      <c r="P451" s="148">
        <v>26150.968120843201</v>
      </c>
      <c r="Q451" s="148">
        <v>26150.968120843201</v>
      </c>
      <c r="R451" s="148">
        <v>26150.968120843201</v>
      </c>
      <c r="S451" s="148">
        <v>26150.968120843201</v>
      </c>
      <c r="T451" s="148">
        <v>26150.968120843201</v>
      </c>
      <c r="U451" s="148">
        <v>26150.968120843201</v>
      </c>
      <c r="V451" s="148">
        <v>26150.968120843201</v>
      </c>
      <c r="W451" s="148">
        <v>26150.968120843201</v>
      </c>
      <c r="X451" s="148">
        <v>26150.968120843201</v>
      </c>
      <c r="Y451" s="148">
        <v>26150.968120843201</v>
      </c>
      <c r="Z451" s="148">
        <v>26150.9681216877</v>
      </c>
      <c r="AA451" s="148"/>
      <c r="AB451" s="148">
        <v>37595.170010621798</v>
      </c>
      <c r="AC451" s="148">
        <v>37595.170010621798</v>
      </c>
      <c r="AD451" s="148">
        <v>37595.170010621798</v>
      </c>
      <c r="AE451" s="148">
        <v>37595.170010621798</v>
      </c>
      <c r="AF451" s="148">
        <v>37595.170010621798</v>
      </c>
      <c r="AG451" s="148">
        <v>37595.170010621798</v>
      </c>
      <c r="AH451" s="148">
        <v>37595.170010621798</v>
      </c>
      <c r="AI451" s="148">
        <v>37595.170010621798</v>
      </c>
      <c r="AJ451" s="148">
        <v>37595.170010621798</v>
      </c>
      <c r="AK451" s="148">
        <v>37595.170010621798</v>
      </c>
      <c r="AL451" s="148">
        <v>37595.170010621798</v>
      </c>
      <c r="AM451" s="148">
        <v>37595.170013872601</v>
      </c>
      <c r="AN451" s="148"/>
    </row>
    <row r="452" spans="1:40" ht="10.199999999999999" x14ac:dyDescent="0.2">
      <c r="A452" s="147" t="s">
        <v>852</v>
      </c>
      <c r="B452" s="148">
        <v>1372</v>
      </c>
      <c r="C452" s="148">
        <v>1372</v>
      </c>
      <c r="D452" s="148">
        <v>1372</v>
      </c>
      <c r="E452" s="148">
        <v>1372</v>
      </c>
      <c r="F452" s="148">
        <v>1372</v>
      </c>
      <c r="G452" s="148">
        <v>1372</v>
      </c>
      <c r="H452" s="148">
        <v>1372</v>
      </c>
      <c r="I452" s="148">
        <v>1372</v>
      </c>
      <c r="J452" s="148">
        <v>1372</v>
      </c>
      <c r="K452" s="148">
        <v>1372</v>
      </c>
      <c r="L452" s="148">
        <v>1372</v>
      </c>
      <c r="M452" s="148">
        <v>1372</v>
      </c>
      <c r="N452" s="148"/>
      <c r="O452" s="148">
        <v>26151</v>
      </c>
      <c r="P452" s="148">
        <v>26151</v>
      </c>
      <c r="Q452" s="148">
        <v>26151</v>
      </c>
      <c r="R452" s="148">
        <v>26151</v>
      </c>
      <c r="S452" s="148">
        <v>26151</v>
      </c>
      <c r="T452" s="148">
        <v>26151</v>
      </c>
      <c r="U452" s="148">
        <v>26151</v>
      </c>
      <c r="V452" s="148">
        <v>26151</v>
      </c>
      <c r="W452" s="148">
        <v>26151</v>
      </c>
      <c r="X452" s="148">
        <v>26151</v>
      </c>
      <c r="Y452" s="148">
        <v>26151</v>
      </c>
      <c r="Z452" s="148">
        <v>26151</v>
      </c>
      <c r="AA452" s="148"/>
      <c r="AB452" s="148">
        <v>37595</v>
      </c>
      <c r="AC452" s="148">
        <v>37595</v>
      </c>
      <c r="AD452" s="148">
        <v>37595</v>
      </c>
      <c r="AE452" s="148">
        <v>37595</v>
      </c>
      <c r="AF452" s="148">
        <v>37595</v>
      </c>
      <c r="AG452" s="148">
        <v>37595</v>
      </c>
      <c r="AH452" s="148">
        <v>37595</v>
      </c>
      <c r="AI452" s="148">
        <v>37595</v>
      </c>
      <c r="AJ452" s="148">
        <v>37595</v>
      </c>
      <c r="AK452" s="148">
        <v>37595</v>
      </c>
      <c r="AL452" s="148">
        <v>37595</v>
      </c>
      <c r="AM452" s="148">
        <v>37595</v>
      </c>
      <c r="AN452" s="148"/>
    </row>
    <row r="453" spans="1:40" ht="10.199999999999999" x14ac:dyDescent="0.2">
      <c r="A453" s="147" t="s">
        <v>853</v>
      </c>
      <c r="B453" s="148">
        <v>0</v>
      </c>
      <c r="C453" s="148">
        <v>0</v>
      </c>
      <c r="D453" s="148">
        <v>0</v>
      </c>
      <c r="E453" s="148">
        <v>0</v>
      </c>
      <c r="F453" s="148">
        <v>0</v>
      </c>
      <c r="G453" s="148">
        <v>0</v>
      </c>
      <c r="H453" s="148">
        <v>0</v>
      </c>
      <c r="I453" s="148">
        <v>0</v>
      </c>
      <c r="J453" s="148">
        <v>0</v>
      </c>
      <c r="K453" s="148">
        <v>0</v>
      </c>
      <c r="L453" s="148">
        <v>0</v>
      </c>
      <c r="M453" s="148">
        <v>0</v>
      </c>
      <c r="N453" s="148"/>
      <c r="O453" s="148">
        <v>0</v>
      </c>
      <c r="P453" s="148">
        <v>0</v>
      </c>
      <c r="Q453" s="148">
        <v>0</v>
      </c>
      <c r="R453" s="148">
        <v>0</v>
      </c>
      <c r="S453" s="148">
        <v>0</v>
      </c>
      <c r="T453" s="148">
        <v>0</v>
      </c>
      <c r="U453" s="148">
        <v>0</v>
      </c>
      <c r="V453" s="148">
        <v>0</v>
      </c>
      <c r="W453" s="148">
        <v>0</v>
      </c>
      <c r="X453" s="148">
        <v>0</v>
      </c>
      <c r="Y453" s="148">
        <v>0</v>
      </c>
      <c r="Z453" s="148">
        <v>0</v>
      </c>
      <c r="AA453" s="148"/>
      <c r="AB453" s="148">
        <v>0</v>
      </c>
      <c r="AC453" s="148">
        <v>0</v>
      </c>
      <c r="AD453" s="148">
        <v>0</v>
      </c>
      <c r="AE453" s="148">
        <v>0</v>
      </c>
      <c r="AF453" s="148">
        <v>0</v>
      </c>
      <c r="AG453" s="148">
        <v>0</v>
      </c>
      <c r="AH453" s="148">
        <v>0</v>
      </c>
      <c r="AI453" s="148">
        <v>0</v>
      </c>
      <c r="AJ453" s="148">
        <v>0</v>
      </c>
      <c r="AK453" s="148">
        <v>0</v>
      </c>
      <c r="AL453" s="148">
        <v>0</v>
      </c>
      <c r="AM453" s="148">
        <v>0</v>
      </c>
      <c r="AN453" s="148"/>
    </row>
    <row r="454" spans="1:40" ht="10.199999999999999" x14ac:dyDescent="0.2">
      <c r="A454" s="147" t="s">
        <v>854</v>
      </c>
      <c r="B454" s="148">
        <v>0</v>
      </c>
      <c r="C454" s="148">
        <v>0</v>
      </c>
      <c r="D454" s="148">
        <v>0</v>
      </c>
      <c r="E454" s="148">
        <v>7092.5697168033903</v>
      </c>
      <c r="F454" s="148">
        <v>0</v>
      </c>
      <c r="G454" s="148">
        <v>-4943.97114784321</v>
      </c>
      <c r="H454" s="148">
        <v>0</v>
      </c>
      <c r="I454" s="148">
        <v>0</v>
      </c>
      <c r="J454" s="148">
        <v>-1025.21562541804</v>
      </c>
      <c r="K454" s="148">
        <v>0</v>
      </c>
      <c r="L454" s="148">
        <v>0</v>
      </c>
      <c r="M454" s="148">
        <v>-4630.5949338992696</v>
      </c>
      <c r="N454" s="148"/>
      <c r="O454" s="148">
        <v>0</v>
      </c>
      <c r="P454" s="148">
        <v>0</v>
      </c>
      <c r="Q454" s="148">
        <v>0</v>
      </c>
      <c r="R454" s="148">
        <v>12578.9731513481</v>
      </c>
      <c r="S454" s="148">
        <v>0</v>
      </c>
      <c r="T454" s="148">
        <v>2395.50545269228</v>
      </c>
      <c r="U454" s="148">
        <v>0</v>
      </c>
      <c r="V454" s="148">
        <v>0</v>
      </c>
      <c r="W454" s="148">
        <v>6539.8144113467097</v>
      </c>
      <c r="X454" s="148">
        <v>0</v>
      </c>
      <c r="Y454" s="148">
        <v>0</v>
      </c>
      <c r="Z454" s="148">
        <v>4636.6751063005604</v>
      </c>
      <c r="AA454" s="148"/>
      <c r="AB454" s="148">
        <v>0</v>
      </c>
      <c r="AC454" s="148">
        <v>0</v>
      </c>
      <c r="AD454" s="148">
        <v>0</v>
      </c>
      <c r="AE454" s="148">
        <v>17148.450878608801</v>
      </c>
      <c r="AF454" s="148">
        <v>0</v>
      </c>
      <c r="AG454" s="148">
        <v>5765.9281077362102</v>
      </c>
      <c r="AH454" s="148">
        <v>0</v>
      </c>
      <c r="AI454" s="148">
        <v>0</v>
      </c>
      <c r="AJ454" s="148">
        <v>7923.9808673772604</v>
      </c>
      <c r="AK454" s="148">
        <v>0</v>
      </c>
      <c r="AL454" s="148">
        <v>0</v>
      </c>
      <c r="AM454" s="148">
        <v>6756.8101601503004</v>
      </c>
      <c r="AN454" s="148"/>
    </row>
    <row r="455" spans="1:40" ht="10.199999999999999" x14ac:dyDescent="0.2">
      <c r="A455" s="147" t="s">
        <v>855</v>
      </c>
      <c r="B455" s="148">
        <v>0</v>
      </c>
      <c r="C455" s="148">
        <v>0</v>
      </c>
      <c r="D455" s="148">
        <v>0</v>
      </c>
      <c r="E455" s="148">
        <v>7092.5697168033903</v>
      </c>
      <c r="F455" s="148">
        <v>0</v>
      </c>
      <c r="G455" s="148">
        <v>-4943.97114784321</v>
      </c>
      <c r="H455" s="148">
        <v>0</v>
      </c>
      <c r="I455" s="148">
        <v>0</v>
      </c>
      <c r="J455" s="148">
        <v>-1025.21562541804</v>
      </c>
      <c r="K455" s="148">
        <v>0</v>
      </c>
      <c r="L455" s="148">
        <v>0</v>
      </c>
      <c r="M455" s="148">
        <v>-4630.5949338992696</v>
      </c>
      <c r="N455" s="148"/>
      <c r="O455" s="148">
        <v>0</v>
      </c>
      <c r="P455" s="148">
        <v>0</v>
      </c>
      <c r="Q455" s="148">
        <v>0</v>
      </c>
      <c r="R455" s="148">
        <v>12578.9731513481</v>
      </c>
      <c r="S455" s="148">
        <v>0</v>
      </c>
      <c r="T455" s="148">
        <v>2395.50545269228</v>
      </c>
      <c r="U455" s="148">
        <v>0</v>
      </c>
      <c r="V455" s="148">
        <v>0</v>
      </c>
      <c r="W455" s="148">
        <v>6539.8144113467097</v>
      </c>
      <c r="X455" s="148">
        <v>0</v>
      </c>
      <c r="Y455" s="148">
        <v>0</v>
      </c>
      <c r="Z455" s="148">
        <v>4636.6751063005604</v>
      </c>
      <c r="AA455" s="148"/>
      <c r="AB455" s="148">
        <v>0</v>
      </c>
      <c r="AC455" s="148">
        <v>0</v>
      </c>
      <c r="AD455" s="148">
        <v>0</v>
      </c>
      <c r="AE455" s="148">
        <v>17148.450878608801</v>
      </c>
      <c r="AF455" s="148">
        <v>0</v>
      </c>
      <c r="AG455" s="148">
        <v>5765.9281077362102</v>
      </c>
      <c r="AH455" s="148">
        <v>0</v>
      </c>
      <c r="AI455" s="148">
        <v>0</v>
      </c>
      <c r="AJ455" s="148">
        <v>7923.9808673772604</v>
      </c>
      <c r="AK455" s="148">
        <v>0</v>
      </c>
      <c r="AL455" s="148">
        <v>0</v>
      </c>
      <c r="AM455" s="148">
        <v>6756.8101601503004</v>
      </c>
      <c r="AN455" s="148"/>
    </row>
    <row r="456" spans="1:40" ht="10.199999999999999" x14ac:dyDescent="0.2">
      <c r="A456" s="147" t="s">
        <v>856</v>
      </c>
      <c r="B456" s="148">
        <v>0</v>
      </c>
      <c r="C456" s="148">
        <v>0</v>
      </c>
      <c r="D456" s="148">
        <v>0</v>
      </c>
      <c r="E456" s="148">
        <v>0</v>
      </c>
      <c r="F456" s="148">
        <v>0</v>
      </c>
      <c r="G456" s="148">
        <v>0</v>
      </c>
      <c r="H456" s="148">
        <v>0</v>
      </c>
      <c r="I456" s="148">
        <v>0</v>
      </c>
      <c r="J456" s="148">
        <v>0</v>
      </c>
      <c r="K456" s="148">
        <v>0</v>
      </c>
      <c r="L456" s="148">
        <v>0</v>
      </c>
      <c r="M456" s="148">
        <v>0</v>
      </c>
      <c r="N456" s="148"/>
      <c r="O456" s="148">
        <v>0</v>
      </c>
      <c r="P456" s="148">
        <v>0</v>
      </c>
      <c r="Q456" s="148">
        <v>0</v>
      </c>
      <c r="R456" s="148">
        <v>0</v>
      </c>
      <c r="S456" s="148">
        <v>0</v>
      </c>
      <c r="T456" s="148">
        <v>0</v>
      </c>
      <c r="U456" s="148">
        <v>0</v>
      </c>
      <c r="V456" s="148">
        <v>0</v>
      </c>
      <c r="W456" s="148">
        <v>0</v>
      </c>
      <c r="X456" s="148">
        <v>0</v>
      </c>
      <c r="Y456" s="148">
        <v>0</v>
      </c>
      <c r="Z456" s="148">
        <v>0</v>
      </c>
      <c r="AA456" s="148"/>
      <c r="AB456" s="148">
        <v>0</v>
      </c>
      <c r="AC456" s="148">
        <v>0</v>
      </c>
      <c r="AD456" s="148">
        <v>0</v>
      </c>
      <c r="AE456" s="148">
        <v>0</v>
      </c>
      <c r="AF456" s="148">
        <v>0</v>
      </c>
      <c r="AG456" s="148">
        <v>0</v>
      </c>
      <c r="AH456" s="148">
        <v>0</v>
      </c>
      <c r="AI456" s="148">
        <v>0</v>
      </c>
      <c r="AJ456" s="148">
        <v>0</v>
      </c>
      <c r="AK456" s="148">
        <v>0</v>
      </c>
      <c r="AL456" s="148">
        <v>0</v>
      </c>
      <c r="AM456" s="148">
        <v>0</v>
      </c>
      <c r="AN456" s="148"/>
    </row>
    <row r="457" spans="1:40" ht="10.199999999999999" x14ac:dyDescent="0.2">
      <c r="A457" s="147" t="s">
        <v>857</v>
      </c>
      <c r="B457" s="148">
        <v>0</v>
      </c>
      <c r="C457" s="148">
        <v>0</v>
      </c>
      <c r="D457" s="148">
        <v>0</v>
      </c>
      <c r="E457" s="148">
        <v>0</v>
      </c>
      <c r="F457" s="148">
        <v>0</v>
      </c>
      <c r="G457" s="148">
        <v>0</v>
      </c>
      <c r="H457" s="148">
        <v>0</v>
      </c>
      <c r="I457" s="148">
        <v>0</v>
      </c>
      <c r="J457" s="148">
        <v>0</v>
      </c>
      <c r="K457" s="148">
        <v>0</v>
      </c>
      <c r="L457" s="148">
        <v>0</v>
      </c>
      <c r="M457" s="148">
        <v>0</v>
      </c>
      <c r="N457" s="148"/>
      <c r="O457" s="148">
        <v>0</v>
      </c>
      <c r="P457" s="148">
        <v>0</v>
      </c>
      <c r="Q457" s="148">
        <v>0</v>
      </c>
      <c r="R457" s="148">
        <v>0</v>
      </c>
      <c r="S457" s="148">
        <v>0</v>
      </c>
      <c r="T457" s="148">
        <v>0</v>
      </c>
      <c r="U457" s="148">
        <v>0</v>
      </c>
      <c r="V457" s="148">
        <v>0</v>
      </c>
      <c r="W457" s="148">
        <v>0</v>
      </c>
      <c r="X457" s="148">
        <v>0</v>
      </c>
      <c r="Y457" s="148">
        <v>0</v>
      </c>
      <c r="Z457" s="148">
        <v>0</v>
      </c>
      <c r="AA457" s="148"/>
      <c r="AB457" s="148">
        <v>0</v>
      </c>
      <c r="AC457" s="148">
        <v>0</v>
      </c>
      <c r="AD457" s="148">
        <v>0</v>
      </c>
      <c r="AE457" s="148">
        <v>0</v>
      </c>
      <c r="AF457" s="148">
        <v>0</v>
      </c>
      <c r="AG457" s="148">
        <v>0</v>
      </c>
      <c r="AH457" s="148">
        <v>0</v>
      </c>
      <c r="AI457" s="148">
        <v>0</v>
      </c>
      <c r="AJ457" s="148">
        <v>0</v>
      </c>
      <c r="AK457" s="148">
        <v>0</v>
      </c>
      <c r="AL457" s="148">
        <v>0</v>
      </c>
      <c r="AM457" s="148">
        <v>0</v>
      </c>
      <c r="AN457" s="148"/>
    </row>
    <row r="458" spans="1:40" ht="10.199999999999999" x14ac:dyDescent="0.2">
      <c r="A458" s="147" t="s">
        <v>858</v>
      </c>
      <c r="B458" s="148">
        <v>0</v>
      </c>
      <c r="C458" s="148">
        <v>0</v>
      </c>
      <c r="D458" s="148">
        <v>0</v>
      </c>
      <c r="E458" s="148">
        <v>0</v>
      </c>
      <c r="F458" s="148">
        <v>0</v>
      </c>
      <c r="G458" s="148">
        <v>0</v>
      </c>
      <c r="H458" s="148">
        <v>0</v>
      </c>
      <c r="I458" s="148">
        <v>0</v>
      </c>
      <c r="J458" s="148">
        <v>0</v>
      </c>
      <c r="K458" s="148">
        <v>0</v>
      </c>
      <c r="L458" s="148">
        <v>0</v>
      </c>
      <c r="M458" s="148">
        <v>0</v>
      </c>
      <c r="N458" s="148"/>
      <c r="O458" s="148">
        <v>0</v>
      </c>
      <c r="P458" s="148">
        <v>0</v>
      </c>
      <c r="Q458" s="148">
        <v>0</v>
      </c>
      <c r="R458" s="148">
        <v>0</v>
      </c>
      <c r="S458" s="148">
        <v>0</v>
      </c>
      <c r="T458" s="148">
        <v>0</v>
      </c>
      <c r="U458" s="148">
        <v>0</v>
      </c>
      <c r="V458" s="148">
        <v>0</v>
      </c>
      <c r="W458" s="148">
        <v>0</v>
      </c>
      <c r="X458" s="148">
        <v>0</v>
      </c>
      <c r="Y458" s="148">
        <v>0</v>
      </c>
      <c r="Z458" s="148">
        <v>0</v>
      </c>
      <c r="AA458" s="148"/>
      <c r="AB458" s="148">
        <v>0</v>
      </c>
      <c r="AC458" s="148">
        <v>0</v>
      </c>
      <c r="AD458" s="148">
        <v>0</v>
      </c>
      <c r="AE458" s="148">
        <v>0</v>
      </c>
      <c r="AF458" s="148">
        <v>0</v>
      </c>
      <c r="AG458" s="148">
        <v>0</v>
      </c>
      <c r="AH458" s="148">
        <v>0</v>
      </c>
      <c r="AI458" s="148">
        <v>0</v>
      </c>
      <c r="AJ458" s="148">
        <v>0</v>
      </c>
      <c r="AK458" s="148">
        <v>0</v>
      </c>
      <c r="AL458" s="148">
        <v>0</v>
      </c>
      <c r="AM458" s="148">
        <v>0</v>
      </c>
      <c r="AN458" s="148"/>
    </row>
    <row r="459" spans="1:40" ht="10.199999999999999" x14ac:dyDescent="0.2">
      <c r="A459" s="147" t="s">
        <v>859</v>
      </c>
      <c r="B459" s="148">
        <v>0</v>
      </c>
      <c r="C459" s="148">
        <v>0</v>
      </c>
      <c r="D459" s="148">
        <v>0</v>
      </c>
      <c r="E459" s="148">
        <v>0</v>
      </c>
      <c r="F459" s="148">
        <v>0</v>
      </c>
      <c r="G459" s="148">
        <v>0</v>
      </c>
      <c r="H459" s="148">
        <v>0</v>
      </c>
      <c r="I459" s="148">
        <v>0</v>
      </c>
      <c r="J459" s="148">
        <v>0</v>
      </c>
      <c r="K459" s="148">
        <v>0</v>
      </c>
      <c r="L459" s="148">
        <v>0</v>
      </c>
      <c r="M459" s="148">
        <v>0</v>
      </c>
      <c r="N459" s="148"/>
      <c r="O459" s="148">
        <v>0</v>
      </c>
      <c r="P459" s="148">
        <v>0</v>
      </c>
      <c r="Q459" s="148">
        <v>0</v>
      </c>
      <c r="R459" s="148">
        <v>0</v>
      </c>
      <c r="S459" s="148">
        <v>0</v>
      </c>
      <c r="T459" s="148">
        <v>0</v>
      </c>
      <c r="U459" s="148">
        <v>0</v>
      </c>
      <c r="V459" s="148">
        <v>0</v>
      </c>
      <c r="W459" s="148">
        <v>0</v>
      </c>
      <c r="X459" s="148">
        <v>0</v>
      </c>
      <c r="Y459" s="148">
        <v>0</v>
      </c>
      <c r="Z459" s="148">
        <v>0</v>
      </c>
      <c r="AA459" s="148"/>
      <c r="AB459" s="148">
        <v>0</v>
      </c>
      <c r="AC459" s="148">
        <v>0</v>
      </c>
      <c r="AD459" s="148">
        <v>0</v>
      </c>
      <c r="AE459" s="148">
        <v>0</v>
      </c>
      <c r="AF459" s="148">
        <v>0</v>
      </c>
      <c r="AG459" s="148">
        <v>0</v>
      </c>
      <c r="AH459" s="148">
        <v>0</v>
      </c>
      <c r="AI459" s="148">
        <v>0</v>
      </c>
      <c r="AJ459" s="148">
        <v>0</v>
      </c>
      <c r="AK459" s="148">
        <v>0</v>
      </c>
      <c r="AL459" s="148">
        <v>0</v>
      </c>
      <c r="AM459" s="148">
        <v>0</v>
      </c>
      <c r="AN459" s="148"/>
    </row>
    <row r="460" spans="1:40" ht="10.199999999999999" x14ac:dyDescent="0.2">
      <c r="A460" s="147" t="s">
        <v>860</v>
      </c>
      <c r="B460" s="148">
        <v>0</v>
      </c>
      <c r="C460" s="148">
        <v>0</v>
      </c>
      <c r="D460" s="148">
        <v>0</v>
      </c>
      <c r="E460" s="148">
        <v>0</v>
      </c>
      <c r="F460" s="148">
        <v>0</v>
      </c>
      <c r="G460" s="148">
        <v>0</v>
      </c>
      <c r="H460" s="148">
        <v>0</v>
      </c>
      <c r="I460" s="148">
        <v>0</v>
      </c>
      <c r="J460" s="148">
        <v>0</v>
      </c>
      <c r="K460" s="148">
        <v>0</v>
      </c>
      <c r="L460" s="148">
        <v>0</v>
      </c>
      <c r="M460" s="148">
        <v>0</v>
      </c>
      <c r="N460" s="148"/>
      <c r="O460" s="148">
        <v>0</v>
      </c>
      <c r="P460" s="148">
        <v>0</v>
      </c>
      <c r="Q460" s="148">
        <v>0</v>
      </c>
      <c r="R460" s="148">
        <v>0</v>
      </c>
      <c r="S460" s="148">
        <v>0</v>
      </c>
      <c r="T460" s="148">
        <v>0</v>
      </c>
      <c r="U460" s="148">
        <v>0</v>
      </c>
      <c r="V460" s="148">
        <v>0</v>
      </c>
      <c r="W460" s="148">
        <v>0</v>
      </c>
      <c r="X460" s="148">
        <v>0</v>
      </c>
      <c r="Y460" s="148">
        <v>0</v>
      </c>
      <c r="Z460" s="148">
        <v>0</v>
      </c>
      <c r="AA460" s="148"/>
      <c r="AB460" s="148">
        <v>0</v>
      </c>
      <c r="AC460" s="148">
        <v>0</v>
      </c>
      <c r="AD460" s="148">
        <v>0</v>
      </c>
      <c r="AE460" s="148">
        <v>0</v>
      </c>
      <c r="AF460" s="148">
        <v>0</v>
      </c>
      <c r="AG460" s="148">
        <v>0</v>
      </c>
      <c r="AH460" s="148">
        <v>0</v>
      </c>
      <c r="AI460" s="148">
        <v>0</v>
      </c>
      <c r="AJ460" s="148">
        <v>0</v>
      </c>
      <c r="AK460" s="148">
        <v>0</v>
      </c>
      <c r="AL460" s="148">
        <v>0</v>
      </c>
      <c r="AM460" s="148">
        <v>0</v>
      </c>
      <c r="AN460" s="148"/>
    </row>
    <row r="461" spans="1:40" ht="10.199999999999999" x14ac:dyDescent="0.2">
      <c r="A461" s="147" t="s">
        <v>861</v>
      </c>
      <c r="B461" s="148">
        <v>0</v>
      </c>
      <c r="C461" s="148">
        <v>0</v>
      </c>
      <c r="D461" s="148">
        <v>0</v>
      </c>
      <c r="E461" s="148">
        <v>0</v>
      </c>
      <c r="F461" s="148">
        <v>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/>
      <c r="O461" s="148">
        <v>0</v>
      </c>
      <c r="P461" s="148">
        <v>0</v>
      </c>
      <c r="Q461" s="148">
        <v>0</v>
      </c>
      <c r="R461" s="148">
        <v>0</v>
      </c>
      <c r="S461" s="148">
        <v>0</v>
      </c>
      <c r="T461" s="148">
        <v>0</v>
      </c>
      <c r="U461" s="148">
        <v>0</v>
      </c>
      <c r="V461" s="148">
        <v>0</v>
      </c>
      <c r="W461" s="148">
        <v>0</v>
      </c>
      <c r="X461" s="148">
        <v>0</v>
      </c>
      <c r="Y461" s="148">
        <v>0</v>
      </c>
      <c r="Z461" s="148">
        <v>0</v>
      </c>
      <c r="AA461" s="148"/>
      <c r="AB461" s="148">
        <v>0</v>
      </c>
      <c r="AC461" s="148">
        <v>0</v>
      </c>
      <c r="AD461" s="148">
        <v>0</v>
      </c>
      <c r="AE461" s="148">
        <v>0</v>
      </c>
      <c r="AF461" s="148">
        <v>0</v>
      </c>
      <c r="AG461" s="148">
        <v>0</v>
      </c>
      <c r="AH461" s="148">
        <v>0</v>
      </c>
      <c r="AI461" s="148">
        <v>0</v>
      </c>
      <c r="AJ461" s="148">
        <v>0</v>
      </c>
      <c r="AK461" s="148">
        <v>0</v>
      </c>
      <c r="AL461" s="148">
        <v>0</v>
      </c>
      <c r="AM461" s="148">
        <v>0</v>
      </c>
      <c r="AN461" s="148"/>
    </row>
    <row r="462" spans="1:40" ht="10.199999999999999" x14ac:dyDescent="0.2">
      <c r="A462" s="147" t="s">
        <v>862</v>
      </c>
      <c r="B462" s="148">
        <v>0</v>
      </c>
      <c r="C462" s="148">
        <v>0</v>
      </c>
      <c r="D462" s="148">
        <v>0</v>
      </c>
      <c r="E462" s="148">
        <v>0</v>
      </c>
      <c r="F462" s="148">
        <v>0</v>
      </c>
      <c r="G462" s="148">
        <v>0</v>
      </c>
      <c r="H462" s="148">
        <v>0</v>
      </c>
      <c r="I462" s="148">
        <v>0</v>
      </c>
      <c r="J462" s="148">
        <v>0</v>
      </c>
      <c r="K462" s="148">
        <v>0</v>
      </c>
      <c r="L462" s="148">
        <v>0</v>
      </c>
      <c r="M462" s="148">
        <v>0</v>
      </c>
      <c r="N462" s="148"/>
      <c r="O462" s="148">
        <v>0</v>
      </c>
      <c r="P462" s="148">
        <v>0</v>
      </c>
      <c r="Q462" s="148">
        <v>0</v>
      </c>
      <c r="R462" s="148">
        <v>0</v>
      </c>
      <c r="S462" s="148">
        <v>0</v>
      </c>
      <c r="T462" s="148">
        <v>0</v>
      </c>
      <c r="U462" s="148">
        <v>0</v>
      </c>
      <c r="V462" s="148">
        <v>0</v>
      </c>
      <c r="W462" s="148">
        <v>0</v>
      </c>
      <c r="X462" s="148">
        <v>0</v>
      </c>
      <c r="Y462" s="148">
        <v>0</v>
      </c>
      <c r="Z462" s="148">
        <v>0</v>
      </c>
      <c r="AA462" s="148"/>
      <c r="AB462" s="148">
        <v>0</v>
      </c>
      <c r="AC462" s="148">
        <v>0</v>
      </c>
      <c r="AD462" s="148">
        <v>0</v>
      </c>
      <c r="AE462" s="148">
        <v>0</v>
      </c>
      <c r="AF462" s="148">
        <v>0</v>
      </c>
      <c r="AG462" s="148">
        <v>0</v>
      </c>
      <c r="AH462" s="148">
        <v>0</v>
      </c>
      <c r="AI462" s="148">
        <v>0</v>
      </c>
      <c r="AJ462" s="148">
        <v>0</v>
      </c>
      <c r="AK462" s="148">
        <v>0</v>
      </c>
      <c r="AL462" s="148">
        <v>0</v>
      </c>
      <c r="AM462" s="148">
        <v>0</v>
      </c>
      <c r="AN462" s="148"/>
    </row>
    <row r="463" spans="1:40" ht="10.199999999999999" x14ac:dyDescent="0.2">
      <c r="A463" s="147" t="s">
        <v>863</v>
      </c>
      <c r="B463" s="148">
        <v>0</v>
      </c>
      <c r="C463" s="148">
        <v>0</v>
      </c>
      <c r="D463" s="148">
        <v>0</v>
      </c>
      <c r="E463" s="148">
        <v>0</v>
      </c>
      <c r="F463" s="148">
        <v>0</v>
      </c>
      <c r="G463" s="148">
        <v>0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/>
      <c r="O463" s="148">
        <v>0</v>
      </c>
      <c r="P463" s="148">
        <v>0</v>
      </c>
      <c r="Q463" s="148">
        <v>0</v>
      </c>
      <c r="R463" s="148">
        <v>0</v>
      </c>
      <c r="S463" s="148">
        <v>0</v>
      </c>
      <c r="T463" s="148">
        <v>0</v>
      </c>
      <c r="U463" s="148">
        <v>0</v>
      </c>
      <c r="V463" s="148">
        <v>0</v>
      </c>
      <c r="W463" s="148">
        <v>0</v>
      </c>
      <c r="X463" s="148">
        <v>0</v>
      </c>
      <c r="Y463" s="148">
        <v>0</v>
      </c>
      <c r="Z463" s="148">
        <v>0</v>
      </c>
      <c r="AA463" s="148"/>
      <c r="AB463" s="148">
        <v>0</v>
      </c>
      <c r="AC463" s="148">
        <v>0</v>
      </c>
      <c r="AD463" s="148">
        <v>0</v>
      </c>
      <c r="AE463" s="148">
        <v>0</v>
      </c>
      <c r="AF463" s="148">
        <v>0</v>
      </c>
      <c r="AG463" s="148">
        <v>0</v>
      </c>
      <c r="AH463" s="148">
        <v>0</v>
      </c>
      <c r="AI463" s="148">
        <v>0</v>
      </c>
      <c r="AJ463" s="148">
        <v>0</v>
      </c>
      <c r="AK463" s="148">
        <v>0</v>
      </c>
      <c r="AL463" s="148">
        <v>0</v>
      </c>
      <c r="AM463" s="148">
        <v>0</v>
      </c>
      <c r="AN463" s="148"/>
    </row>
    <row r="464" spans="1:40" ht="10.199999999999999" x14ac:dyDescent="0.2">
      <c r="A464" s="147" t="s">
        <v>864</v>
      </c>
      <c r="B464" s="148">
        <v>0</v>
      </c>
      <c r="C464" s="148">
        <v>0</v>
      </c>
      <c r="D464" s="148">
        <v>0</v>
      </c>
      <c r="E464" s="148">
        <v>0</v>
      </c>
      <c r="F464" s="148">
        <v>0</v>
      </c>
      <c r="G464" s="148">
        <v>0</v>
      </c>
      <c r="H464" s="148">
        <v>0</v>
      </c>
      <c r="I464" s="148">
        <v>0</v>
      </c>
      <c r="J464" s="148">
        <v>0</v>
      </c>
      <c r="K464" s="148">
        <v>0</v>
      </c>
      <c r="L464" s="148">
        <v>0</v>
      </c>
      <c r="M464" s="148">
        <v>0</v>
      </c>
      <c r="N464" s="148"/>
      <c r="O464" s="148">
        <v>0</v>
      </c>
      <c r="P464" s="148">
        <v>0</v>
      </c>
      <c r="Q464" s="148">
        <v>0</v>
      </c>
      <c r="R464" s="148">
        <v>0</v>
      </c>
      <c r="S464" s="148">
        <v>0</v>
      </c>
      <c r="T464" s="148">
        <v>0</v>
      </c>
      <c r="U464" s="148">
        <v>0</v>
      </c>
      <c r="V464" s="148">
        <v>0</v>
      </c>
      <c r="W464" s="148">
        <v>0</v>
      </c>
      <c r="X464" s="148">
        <v>0</v>
      </c>
      <c r="Y464" s="148">
        <v>0</v>
      </c>
      <c r="Z464" s="148">
        <v>0</v>
      </c>
      <c r="AA464" s="148"/>
      <c r="AB464" s="148">
        <v>0</v>
      </c>
      <c r="AC464" s="148">
        <v>0</v>
      </c>
      <c r="AD464" s="148">
        <v>0</v>
      </c>
      <c r="AE464" s="148">
        <v>0</v>
      </c>
      <c r="AF464" s="148">
        <v>0</v>
      </c>
      <c r="AG464" s="148">
        <v>0</v>
      </c>
      <c r="AH464" s="148">
        <v>0</v>
      </c>
      <c r="AI464" s="148">
        <v>0</v>
      </c>
      <c r="AJ464" s="148">
        <v>0</v>
      </c>
      <c r="AK464" s="148">
        <v>0</v>
      </c>
      <c r="AL464" s="148">
        <v>0</v>
      </c>
      <c r="AM464" s="148">
        <v>0</v>
      </c>
      <c r="AN464" s="148"/>
    </row>
    <row r="465" spans="1:40" ht="10.199999999999999" x14ac:dyDescent="0.2">
      <c r="A465" s="147" t="s">
        <v>865</v>
      </c>
      <c r="B465" s="148">
        <v>0</v>
      </c>
      <c r="C465" s="148">
        <v>0</v>
      </c>
      <c r="D465" s="148">
        <v>0</v>
      </c>
      <c r="E465" s="148">
        <v>0</v>
      </c>
      <c r="F465" s="148">
        <v>0</v>
      </c>
      <c r="G465" s="148">
        <v>0</v>
      </c>
      <c r="H465" s="148">
        <v>0</v>
      </c>
      <c r="I465" s="148">
        <v>0</v>
      </c>
      <c r="J465" s="148">
        <v>0</v>
      </c>
      <c r="K465" s="148">
        <v>0</v>
      </c>
      <c r="L465" s="148">
        <v>0</v>
      </c>
      <c r="M465" s="148">
        <v>0</v>
      </c>
      <c r="N465" s="148"/>
      <c r="O465" s="148">
        <v>0</v>
      </c>
      <c r="P465" s="148">
        <v>0</v>
      </c>
      <c r="Q465" s="148">
        <v>0</v>
      </c>
      <c r="R465" s="148">
        <v>0</v>
      </c>
      <c r="S465" s="148">
        <v>0</v>
      </c>
      <c r="T465" s="148">
        <v>0</v>
      </c>
      <c r="U465" s="148">
        <v>0</v>
      </c>
      <c r="V465" s="148">
        <v>0</v>
      </c>
      <c r="W465" s="148">
        <v>0</v>
      </c>
      <c r="X465" s="148">
        <v>0</v>
      </c>
      <c r="Y465" s="148">
        <v>0</v>
      </c>
      <c r="Z465" s="148">
        <v>0</v>
      </c>
      <c r="AA465" s="148"/>
      <c r="AB465" s="148">
        <v>0</v>
      </c>
      <c r="AC465" s="148">
        <v>0</v>
      </c>
      <c r="AD465" s="148">
        <v>0</v>
      </c>
      <c r="AE465" s="148">
        <v>0</v>
      </c>
      <c r="AF465" s="148">
        <v>0</v>
      </c>
      <c r="AG465" s="148">
        <v>0</v>
      </c>
      <c r="AH465" s="148">
        <v>0</v>
      </c>
      <c r="AI465" s="148">
        <v>0</v>
      </c>
      <c r="AJ465" s="148">
        <v>0</v>
      </c>
      <c r="AK465" s="148">
        <v>0</v>
      </c>
      <c r="AL465" s="148">
        <v>0</v>
      </c>
      <c r="AM465" s="148">
        <v>0</v>
      </c>
      <c r="AN465" s="148"/>
    </row>
    <row r="466" spans="1:40" ht="10.199999999999999" x14ac:dyDescent="0.2">
      <c r="A466" s="147" t="s">
        <v>866</v>
      </c>
      <c r="B466" s="148">
        <v>0</v>
      </c>
      <c r="C466" s="148">
        <v>0</v>
      </c>
      <c r="D466" s="148">
        <v>0</v>
      </c>
      <c r="E466" s="148">
        <v>0</v>
      </c>
      <c r="F466" s="148">
        <v>0</v>
      </c>
      <c r="G466" s="148">
        <v>0</v>
      </c>
      <c r="H466" s="148">
        <v>0</v>
      </c>
      <c r="I466" s="148">
        <v>0</v>
      </c>
      <c r="J466" s="148">
        <v>0</v>
      </c>
      <c r="K466" s="148">
        <v>0</v>
      </c>
      <c r="L466" s="148">
        <v>0</v>
      </c>
      <c r="M466" s="148">
        <v>0</v>
      </c>
      <c r="N466" s="148"/>
      <c r="O466" s="148">
        <v>0</v>
      </c>
      <c r="P466" s="148">
        <v>0</v>
      </c>
      <c r="Q466" s="148">
        <v>0</v>
      </c>
      <c r="R466" s="148">
        <v>0</v>
      </c>
      <c r="S466" s="148">
        <v>0</v>
      </c>
      <c r="T466" s="148">
        <v>0</v>
      </c>
      <c r="U466" s="148">
        <v>0</v>
      </c>
      <c r="V466" s="148">
        <v>0</v>
      </c>
      <c r="W466" s="148">
        <v>0</v>
      </c>
      <c r="X466" s="148">
        <v>0</v>
      </c>
      <c r="Y466" s="148">
        <v>0</v>
      </c>
      <c r="Z466" s="148">
        <v>0</v>
      </c>
      <c r="AA466" s="148"/>
      <c r="AB466" s="148">
        <v>0</v>
      </c>
      <c r="AC466" s="148">
        <v>0</v>
      </c>
      <c r="AD466" s="148">
        <v>0</v>
      </c>
      <c r="AE466" s="148">
        <v>0</v>
      </c>
      <c r="AF466" s="148">
        <v>0</v>
      </c>
      <c r="AG466" s="148">
        <v>0</v>
      </c>
      <c r="AH466" s="148">
        <v>0</v>
      </c>
      <c r="AI466" s="148">
        <v>0</v>
      </c>
      <c r="AJ466" s="148">
        <v>0</v>
      </c>
      <c r="AK466" s="148">
        <v>0</v>
      </c>
      <c r="AL466" s="148">
        <v>0</v>
      </c>
      <c r="AM466" s="148">
        <v>0</v>
      </c>
      <c r="AN466" s="148"/>
    </row>
    <row r="467" spans="1:40" ht="10.199999999999999" x14ac:dyDescent="0.2">
      <c r="A467" s="147" t="s">
        <v>867</v>
      </c>
      <c r="B467" s="148">
        <v>0</v>
      </c>
      <c r="C467" s="148">
        <v>0</v>
      </c>
      <c r="D467" s="148">
        <v>0</v>
      </c>
      <c r="E467" s="148">
        <v>0</v>
      </c>
      <c r="F467" s="148">
        <v>0</v>
      </c>
      <c r="G467" s="148">
        <v>0</v>
      </c>
      <c r="H467" s="148">
        <v>0</v>
      </c>
      <c r="I467" s="148">
        <v>0</v>
      </c>
      <c r="J467" s="148">
        <v>0</v>
      </c>
      <c r="K467" s="148">
        <v>0</v>
      </c>
      <c r="L467" s="148">
        <v>0</v>
      </c>
      <c r="M467" s="148">
        <v>0</v>
      </c>
      <c r="N467" s="148"/>
      <c r="O467" s="148">
        <v>0</v>
      </c>
      <c r="P467" s="148">
        <v>0</v>
      </c>
      <c r="Q467" s="148">
        <v>0</v>
      </c>
      <c r="R467" s="148">
        <v>0</v>
      </c>
      <c r="S467" s="148">
        <v>0</v>
      </c>
      <c r="T467" s="148">
        <v>0</v>
      </c>
      <c r="U467" s="148">
        <v>0</v>
      </c>
      <c r="V467" s="148">
        <v>0</v>
      </c>
      <c r="W467" s="148">
        <v>0</v>
      </c>
      <c r="X467" s="148">
        <v>0</v>
      </c>
      <c r="Y467" s="148">
        <v>0</v>
      </c>
      <c r="Z467" s="148">
        <v>0</v>
      </c>
      <c r="AA467" s="148"/>
      <c r="AB467" s="148">
        <v>0</v>
      </c>
      <c r="AC467" s="148">
        <v>0</v>
      </c>
      <c r="AD467" s="148">
        <v>0</v>
      </c>
      <c r="AE467" s="148">
        <v>0</v>
      </c>
      <c r="AF467" s="148">
        <v>0</v>
      </c>
      <c r="AG467" s="148">
        <v>0</v>
      </c>
      <c r="AH467" s="148">
        <v>0</v>
      </c>
      <c r="AI467" s="148">
        <v>0</v>
      </c>
      <c r="AJ467" s="148">
        <v>0</v>
      </c>
      <c r="AK467" s="148">
        <v>0</v>
      </c>
      <c r="AL467" s="148">
        <v>0</v>
      </c>
      <c r="AM467" s="148">
        <v>0</v>
      </c>
      <c r="AN467" s="148"/>
    </row>
    <row r="468" spans="1:40" ht="10.199999999999999" x14ac:dyDescent="0.2">
      <c r="A468" s="147" t="s">
        <v>868</v>
      </c>
      <c r="B468" s="148">
        <v>0</v>
      </c>
      <c r="C468" s="148">
        <v>0</v>
      </c>
      <c r="D468" s="148">
        <v>0</v>
      </c>
      <c r="E468" s="148">
        <v>0</v>
      </c>
      <c r="F468" s="148">
        <v>0</v>
      </c>
      <c r="G468" s="148">
        <v>0</v>
      </c>
      <c r="H468" s="148">
        <v>0</v>
      </c>
      <c r="I468" s="148">
        <v>0</v>
      </c>
      <c r="J468" s="148">
        <v>0</v>
      </c>
      <c r="K468" s="148">
        <v>0</v>
      </c>
      <c r="L468" s="148">
        <v>0</v>
      </c>
      <c r="M468" s="148">
        <v>0</v>
      </c>
      <c r="N468" s="148"/>
      <c r="O468" s="148">
        <v>0</v>
      </c>
      <c r="P468" s="148">
        <v>0</v>
      </c>
      <c r="Q468" s="148">
        <v>0</v>
      </c>
      <c r="R468" s="148">
        <v>0</v>
      </c>
      <c r="S468" s="148">
        <v>0</v>
      </c>
      <c r="T468" s="148">
        <v>0</v>
      </c>
      <c r="U468" s="148">
        <v>0</v>
      </c>
      <c r="V468" s="148">
        <v>0</v>
      </c>
      <c r="W468" s="148">
        <v>0</v>
      </c>
      <c r="X468" s="148">
        <v>0</v>
      </c>
      <c r="Y468" s="148">
        <v>0</v>
      </c>
      <c r="Z468" s="148">
        <v>0</v>
      </c>
      <c r="AA468" s="148"/>
      <c r="AB468" s="148">
        <v>0</v>
      </c>
      <c r="AC468" s="148">
        <v>0</v>
      </c>
      <c r="AD468" s="148">
        <v>0</v>
      </c>
      <c r="AE468" s="148">
        <v>0</v>
      </c>
      <c r="AF468" s="148">
        <v>0</v>
      </c>
      <c r="AG468" s="148">
        <v>0</v>
      </c>
      <c r="AH468" s="148">
        <v>0</v>
      </c>
      <c r="AI468" s="148">
        <v>0</v>
      </c>
      <c r="AJ468" s="148">
        <v>0</v>
      </c>
      <c r="AK468" s="148">
        <v>0</v>
      </c>
      <c r="AL468" s="148">
        <v>0</v>
      </c>
      <c r="AM468" s="148">
        <v>0</v>
      </c>
      <c r="AN468" s="148"/>
    </row>
    <row r="469" spans="1:40" ht="10.199999999999999" x14ac:dyDescent="0.2">
      <c r="A469" s="147" t="s">
        <v>869</v>
      </c>
      <c r="B469" s="148">
        <v>1</v>
      </c>
      <c r="C469" s="148">
        <v>2</v>
      </c>
      <c r="D469" s="148">
        <v>3</v>
      </c>
      <c r="E469" s="148">
        <v>4</v>
      </c>
      <c r="F469" s="148">
        <v>5</v>
      </c>
      <c r="G469" s="148">
        <v>6</v>
      </c>
      <c r="H469" s="148">
        <v>7</v>
      </c>
      <c r="I469" s="148">
        <v>8</v>
      </c>
      <c r="J469" s="148">
        <v>9</v>
      </c>
      <c r="K469" s="148">
        <v>10</v>
      </c>
      <c r="L469" s="148">
        <v>11</v>
      </c>
      <c r="M469" s="148">
        <v>12</v>
      </c>
      <c r="N469" s="148"/>
      <c r="O469" s="148">
        <v>1</v>
      </c>
      <c r="P469" s="148">
        <v>2</v>
      </c>
      <c r="Q469" s="148">
        <v>3</v>
      </c>
      <c r="R469" s="148">
        <v>4</v>
      </c>
      <c r="S469" s="148">
        <v>5</v>
      </c>
      <c r="T469" s="148">
        <v>6</v>
      </c>
      <c r="U469" s="148">
        <v>7</v>
      </c>
      <c r="V469" s="148">
        <v>8</v>
      </c>
      <c r="W469" s="148">
        <v>9</v>
      </c>
      <c r="X469" s="148">
        <v>10</v>
      </c>
      <c r="Y469" s="148">
        <v>11</v>
      </c>
      <c r="Z469" s="148">
        <v>12</v>
      </c>
      <c r="AA469" s="148"/>
      <c r="AB469" s="148">
        <v>1</v>
      </c>
      <c r="AC469" s="148">
        <v>2</v>
      </c>
      <c r="AD469" s="148">
        <v>3</v>
      </c>
      <c r="AE469" s="148">
        <v>4</v>
      </c>
      <c r="AF469" s="148">
        <v>5</v>
      </c>
      <c r="AG469" s="148">
        <v>6</v>
      </c>
      <c r="AH469" s="148">
        <v>7</v>
      </c>
      <c r="AI469" s="148">
        <v>8</v>
      </c>
      <c r="AJ469" s="148">
        <v>9</v>
      </c>
      <c r="AK469" s="148">
        <v>10</v>
      </c>
      <c r="AL469" s="148">
        <v>11</v>
      </c>
      <c r="AM469" s="148">
        <v>12</v>
      </c>
      <c r="AN469" s="148"/>
    </row>
    <row r="470" spans="1:40" ht="10.199999999999999" x14ac:dyDescent="0.2">
      <c r="A470" s="147" t="s">
        <v>870</v>
      </c>
      <c r="B470" s="148">
        <v>0</v>
      </c>
      <c r="C470" s="148">
        <v>0</v>
      </c>
      <c r="D470" s="148">
        <v>0</v>
      </c>
      <c r="E470" s="148">
        <v>0</v>
      </c>
      <c r="F470" s="148">
        <v>0</v>
      </c>
      <c r="G470" s="148">
        <v>0</v>
      </c>
      <c r="H470" s="148">
        <v>0</v>
      </c>
      <c r="I470" s="148">
        <v>0</v>
      </c>
      <c r="J470" s="148">
        <v>0</v>
      </c>
      <c r="K470" s="148">
        <v>0</v>
      </c>
      <c r="L470" s="148">
        <v>0</v>
      </c>
      <c r="M470" s="148">
        <v>0</v>
      </c>
      <c r="N470" s="148"/>
      <c r="O470" s="148">
        <v>0</v>
      </c>
      <c r="P470" s="148">
        <v>0</v>
      </c>
      <c r="Q470" s="148">
        <v>0</v>
      </c>
      <c r="R470" s="148">
        <v>0</v>
      </c>
      <c r="S470" s="148">
        <v>0</v>
      </c>
      <c r="T470" s="148">
        <v>0</v>
      </c>
      <c r="U470" s="148">
        <v>0</v>
      </c>
      <c r="V470" s="148">
        <v>0</v>
      </c>
      <c r="W470" s="148">
        <v>0</v>
      </c>
      <c r="X470" s="148">
        <v>0</v>
      </c>
      <c r="Y470" s="148">
        <v>0</v>
      </c>
      <c r="Z470" s="148">
        <v>0</v>
      </c>
      <c r="AA470" s="148"/>
      <c r="AB470" s="148">
        <v>0</v>
      </c>
      <c r="AC470" s="148">
        <v>0</v>
      </c>
      <c r="AD470" s="148">
        <v>0</v>
      </c>
      <c r="AE470" s="148">
        <v>0</v>
      </c>
      <c r="AF470" s="148">
        <v>0</v>
      </c>
      <c r="AG470" s="148">
        <v>0</v>
      </c>
      <c r="AH470" s="148">
        <v>0</v>
      </c>
      <c r="AI470" s="148">
        <v>0</v>
      </c>
      <c r="AJ470" s="148">
        <v>0</v>
      </c>
      <c r="AK470" s="148">
        <v>0</v>
      </c>
      <c r="AL470" s="148">
        <v>0</v>
      </c>
      <c r="AM470" s="148">
        <v>0</v>
      </c>
      <c r="AN470" s="148"/>
    </row>
    <row r="471" spans="1:40" ht="10.199999999999999" x14ac:dyDescent="0.2">
      <c r="A471" s="147" t="s">
        <v>871</v>
      </c>
      <c r="B471" s="148">
        <v>0</v>
      </c>
      <c r="C471" s="148">
        <v>0</v>
      </c>
      <c r="D471" s="148">
        <v>0</v>
      </c>
      <c r="E471" s="148">
        <v>0</v>
      </c>
      <c r="F471" s="148">
        <v>0</v>
      </c>
      <c r="G471" s="148">
        <v>0</v>
      </c>
      <c r="H471" s="148">
        <v>0</v>
      </c>
      <c r="I471" s="148">
        <v>0</v>
      </c>
      <c r="J471" s="148">
        <v>0</v>
      </c>
      <c r="K471" s="148">
        <v>0</v>
      </c>
      <c r="L471" s="148">
        <v>0</v>
      </c>
      <c r="M471" s="148">
        <v>0</v>
      </c>
      <c r="N471" s="148"/>
      <c r="O471" s="148">
        <v>0</v>
      </c>
      <c r="P471" s="148">
        <v>0</v>
      </c>
      <c r="Q471" s="148">
        <v>0</v>
      </c>
      <c r="R471" s="148">
        <v>0</v>
      </c>
      <c r="S471" s="148">
        <v>0</v>
      </c>
      <c r="T471" s="148">
        <v>0</v>
      </c>
      <c r="U471" s="148">
        <v>0</v>
      </c>
      <c r="V471" s="148">
        <v>0</v>
      </c>
      <c r="W471" s="148">
        <v>0</v>
      </c>
      <c r="X471" s="148">
        <v>0</v>
      </c>
      <c r="Y471" s="148">
        <v>0</v>
      </c>
      <c r="Z471" s="148">
        <v>0</v>
      </c>
      <c r="AA471" s="148"/>
      <c r="AB471" s="148">
        <v>0</v>
      </c>
      <c r="AC471" s="148">
        <v>0</v>
      </c>
      <c r="AD471" s="148">
        <v>0</v>
      </c>
      <c r="AE471" s="148">
        <v>0</v>
      </c>
      <c r="AF471" s="148">
        <v>0</v>
      </c>
      <c r="AG471" s="148">
        <v>0</v>
      </c>
      <c r="AH471" s="148">
        <v>0</v>
      </c>
      <c r="AI471" s="148">
        <v>0</v>
      </c>
      <c r="AJ471" s="148">
        <v>0</v>
      </c>
      <c r="AK471" s="148">
        <v>0</v>
      </c>
      <c r="AL471" s="148">
        <v>0</v>
      </c>
      <c r="AM471" s="148">
        <v>0</v>
      </c>
      <c r="AN471" s="148"/>
    </row>
    <row r="472" spans="1:40" ht="10.199999999999999" x14ac:dyDescent="0.2">
      <c r="A472" s="147" t="s">
        <v>872</v>
      </c>
      <c r="B472" s="148">
        <v>0</v>
      </c>
      <c r="C472" s="148">
        <v>0</v>
      </c>
      <c r="D472" s="148">
        <v>0</v>
      </c>
      <c r="E472" s="148">
        <v>0</v>
      </c>
      <c r="F472" s="148">
        <v>0</v>
      </c>
      <c r="G472" s="148">
        <v>0</v>
      </c>
      <c r="H472" s="148">
        <v>0</v>
      </c>
      <c r="I472" s="148">
        <v>0</v>
      </c>
      <c r="J472" s="148">
        <v>0</v>
      </c>
      <c r="K472" s="148">
        <v>0</v>
      </c>
      <c r="L472" s="148">
        <v>0</v>
      </c>
      <c r="M472" s="148">
        <v>0</v>
      </c>
      <c r="N472" s="148"/>
      <c r="O472" s="148">
        <v>0</v>
      </c>
      <c r="P472" s="148">
        <v>0</v>
      </c>
      <c r="Q472" s="148">
        <v>0</v>
      </c>
      <c r="R472" s="148">
        <v>0</v>
      </c>
      <c r="S472" s="148">
        <v>0</v>
      </c>
      <c r="T472" s="148">
        <v>0</v>
      </c>
      <c r="U472" s="148">
        <v>0</v>
      </c>
      <c r="V472" s="148">
        <v>0</v>
      </c>
      <c r="W472" s="148">
        <v>0</v>
      </c>
      <c r="X472" s="148">
        <v>0</v>
      </c>
      <c r="Y472" s="148">
        <v>0</v>
      </c>
      <c r="Z472" s="148">
        <v>0</v>
      </c>
      <c r="AA472" s="148"/>
      <c r="AB472" s="148">
        <v>0</v>
      </c>
      <c r="AC472" s="148">
        <v>0</v>
      </c>
      <c r="AD472" s="148">
        <v>0</v>
      </c>
      <c r="AE472" s="148">
        <v>0</v>
      </c>
      <c r="AF472" s="148">
        <v>0</v>
      </c>
      <c r="AG472" s="148">
        <v>0</v>
      </c>
      <c r="AH472" s="148">
        <v>0</v>
      </c>
      <c r="AI472" s="148">
        <v>0</v>
      </c>
      <c r="AJ472" s="148">
        <v>0</v>
      </c>
      <c r="AK472" s="148">
        <v>0</v>
      </c>
      <c r="AL472" s="148">
        <v>0</v>
      </c>
      <c r="AM472" s="148">
        <v>0</v>
      </c>
      <c r="AN472" s="148"/>
    </row>
    <row r="473" spans="1:40" ht="10.199999999999999" x14ac:dyDescent="0.2">
      <c r="A473" s="147" t="s">
        <v>873</v>
      </c>
      <c r="B473" s="148">
        <v>0</v>
      </c>
      <c r="C473" s="148">
        <v>0</v>
      </c>
      <c r="D473" s="148">
        <v>0</v>
      </c>
      <c r="E473" s="148">
        <v>0</v>
      </c>
      <c r="F473" s="148">
        <v>0</v>
      </c>
      <c r="G473" s="148">
        <v>0</v>
      </c>
      <c r="H473" s="148">
        <v>0</v>
      </c>
      <c r="I473" s="148">
        <v>0</v>
      </c>
      <c r="J473" s="148">
        <v>0</v>
      </c>
      <c r="K473" s="148">
        <v>0</v>
      </c>
      <c r="L473" s="148">
        <v>0</v>
      </c>
      <c r="M473" s="148">
        <v>0</v>
      </c>
      <c r="N473" s="148"/>
      <c r="O473" s="148">
        <v>0</v>
      </c>
      <c r="P473" s="148">
        <v>0</v>
      </c>
      <c r="Q473" s="148">
        <v>0</v>
      </c>
      <c r="R473" s="148">
        <v>0</v>
      </c>
      <c r="S473" s="148">
        <v>0</v>
      </c>
      <c r="T473" s="148">
        <v>0</v>
      </c>
      <c r="U473" s="148">
        <v>0</v>
      </c>
      <c r="V473" s="148">
        <v>0</v>
      </c>
      <c r="W473" s="148">
        <v>0</v>
      </c>
      <c r="X473" s="148">
        <v>0</v>
      </c>
      <c r="Y473" s="148">
        <v>0</v>
      </c>
      <c r="Z473" s="148">
        <v>0</v>
      </c>
      <c r="AA473" s="148"/>
      <c r="AB473" s="148">
        <v>0</v>
      </c>
      <c r="AC473" s="148">
        <v>0</v>
      </c>
      <c r="AD473" s="148">
        <v>0</v>
      </c>
      <c r="AE473" s="148">
        <v>0</v>
      </c>
      <c r="AF473" s="148">
        <v>0</v>
      </c>
      <c r="AG473" s="148">
        <v>0</v>
      </c>
      <c r="AH473" s="148">
        <v>0</v>
      </c>
      <c r="AI473" s="148">
        <v>0</v>
      </c>
      <c r="AJ473" s="148">
        <v>0</v>
      </c>
      <c r="AK473" s="148">
        <v>0</v>
      </c>
      <c r="AL473" s="148">
        <v>0</v>
      </c>
      <c r="AM473" s="148">
        <v>0</v>
      </c>
      <c r="AN473" s="148"/>
    </row>
    <row r="474" spans="1:40" ht="10.199999999999999" x14ac:dyDescent="0.2">
      <c r="A474" s="147" t="s">
        <v>874</v>
      </c>
      <c r="B474" s="148">
        <v>0</v>
      </c>
      <c r="C474" s="148">
        <v>0</v>
      </c>
      <c r="D474" s="148">
        <v>0</v>
      </c>
      <c r="E474" s="148">
        <v>8159.6989999999996</v>
      </c>
      <c r="F474" s="148">
        <v>0</v>
      </c>
      <c r="G474" s="148">
        <v>-1132.0809999999999</v>
      </c>
      <c r="H474" s="148">
        <v>0</v>
      </c>
      <c r="I474" s="148">
        <v>0</v>
      </c>
      <c r="J474" s="148">
        <v>-1025.21562541804</v>
      </c>
      <c r="K474" s="148">
        <v>0</v>
      </c>
      <c r="L474" s="148">
        <v>0</v>
      </c>
      <c r="M474" s="148">
        <v>-4630.5949338992696</v>
      </c>
      <c r="N474" s="148"/>
      <c r="O474" s="148">
        <v>0</v>
      </c>
      <c r="P474" s="148">
        <v>0</v>
      </c>
      <c r="Q474" s="148">
        <v>0</v>
      </c>
      <c r="R474" s="148">
        <v>12578.9731513481</v>
      </c>
      <c r="S474" s="148">
        <v>0</v>
      </c>
      <c r="T474" s="148">
        <v>2395.50545269228</v>
      </c>
      <c r="U474" s="148">
        <v>0</v>
      </c>
      <c r="V474" s="148">
        <v>0</v>
      </c>
      <c r="W474" s="148">
        <v>6539.8144113467097</v>
      </c>
      <c r="X474" s="148">
        <v>0</v>
      </c>
      <c r="Y474" s="148">
        <v>0</v>
      </c>
      <c r="Z474" s="148">
        <v>4636.6751063005604</v>
      </c>
      <c r="AA474" s="148"/>
      <c r="AB474" s="148">
        <v>0</v>
      </c>
      <c r="AC474" s="148">
        <v>0</v>
      </c>
      <c r="AD474" s="148">
        <v>0</v>
      </c>
      <c r="AE474" s="148">
        <v>17148.450878608801</v>
      </c>
      <c r="AF474" s="148">
        <v>0</v>
      </c>
      <c r="AG474" s="148">
        <v>5765.9281077362102</v>
      </c>
      <c r="AH474" s="148">
        <v>0</v>
      </c>
      <c r="AI474" s="148">
        <v>0</v>
      </c>
      <c r="AJ474" s="148">
        <v>7923.9808673772604</v>
      </c>
      <c r="AK474" s="148">
        <v>0</v>
      </c>
      <c r="AL474" s="148">
        <v>0</v>
      </c>
      <c r="AM474" s="148">
        <v>6756.8101601503004</v>
      </c>
      <c r="AN474" s="148"/>
    </row>
    <row r="475" spans="1:40" ht="10.199999999999999" x14ac:dyDescent="0.2">
      <c r="A475" s="147" t="s">
        <v>875</v>
      </c>
      <c r="B475" s="148">
        <v>0</v>
      </c>
      <c r="C475" s="148">
        <v>0</v>
      </c>
      <c r="D475" s="148">
        <v>0</v>
      </c>
      <c r="E475" s="148">
        <v>8159.6989999999996</v>
      </c>
      <c r="F475" s="148">
        <v>8159.6989999999996</v>
      </c>
      <c r="G475" s="148">
        <v>7027.6179999999904</v>
      </c>
      <c r="H475" s="148">
        <v>7027.6179999999904</v>
      </c>
      <c r="I475" s="148">
        <v>7027.6179999999904</v>
      </c>
      <c r="J475" s="148">
        <v>6002.4023745819504</v>
      </c>
      <c r="K475" s="148">
        <v>6002.4023745819504</v>
      </c>
      <c r="L475" s="148">
        <v>6002.4023745819504</v>
      </c>
      <c r="M475" s="148">
        <v>1371.80744068268</v>
      </c>
      <c r="N475" s="148"/>
      <c r="O475" s="148">
        <v>0</v>
      </c>
      <c r="P475" s="148">
        <v>0</v>
      </c>
      <c r="Q475" s="148">
        <v>0</v>
      </c>
      <c r="R475" s="148">
        <v>12578.9731513481</v>
      </c>
      <c r="S475" s="148">
        <v>12578.9731513481</v>
      </c>
      <c r="T475" s="148">
        <v>14974.4786040404</v>
      </c>
      <c r="U475" s="148">
        <v>14974.4786040404</v>
      </c>
      <c r="V475" s="148">
        <v>14974.4786040404</v>
      </c>
      <c r="W475" s="148">
        <v>21514.293015387098</v>
      </c>
      <c r="X475" s="148">
        <v>21514.293015387098</v>
      </c>
      <c r="Y475" s="148">
        <v>21514.293015387098</v>
      </c>
      <c r="Z475" s="148">
        <v>26150.9681216877</v>
      </c>
      <c r="AA475" s="148"/>
      <c r="AB475" s="148">
        <v>0</v>
      </c>
      <c r="AC475" s="148">
        <v>0</v>
      </c>
      <c r="AD475" s="148">
        <v>0</v>
      </c>
      <c r="AE475" s="148">
        <v>17148.450878608801</v>
      </c>
      <c r="AF475" s="148">
        <v>17148.450878608801</v>
      </c>
      <c r="AG475" s="148">
        <v>22914.378986345098</v>
      </c>
      <c r="AH475" s="148">
        <v>22914.378986345098</v>
      </c>
      <c r="AI475" s="148">
        <v>22914.378986345098</v>
      </c>
      <c r="AJ475" s="148">
        <v>30838.359853722301</v>
      </c>
      <c r="AK475" s="148">
        <v>30838.359853722301</v>
      </c>
      <c r="AL475" s="148">
        <v>30838.359853722301</v>
      </c>
      <c r="AM475" s="148">
        <v>37595.170013872601</v>
      </c>
      <c r="AN475" s="148"/>
    </row>
    <row r="476" spans="1:40" ht="14.4" x14ac:dyDescent="0.3">
      <c r="A476" s="146" t="s">
        <v>876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</row>
    <row r="477" spans="1:40" ht="10.199999999999999" x14ac:dyDescent="0.2">
      <c r="A477" s="147" t="s">
        <v>877</v>
      </c>
      <c r="B477" s="148">
        <v>0</v>
      </c>
      <c r="C477" s="148">
        <v>0</v>
      </c>
      <c r="D477" s="148">
        <v>0</v>
      </c>
      <c r="E477" s="148">
        <v>0</v>
      </c>
      <c r="F477" s="148">
        <v>0</v>
      </c>
      <c r="G477" s="148">
        <v>0</v>
      </c>
      <c r="H477" s="148">
        <v>0</v>
      </c>
      <c r="I477" s="148">
        <v>0</v>
      </c>
      <c r="J477" s="148">
        <v>0</v>
      </c>
      <c r="K477" s="148">
        <v>0</v>
      </c>
      <c r="L477" s="148">
        <v>0</v>
      </c>
      <c r="M477" s="148">
        <v>0</v>
      </c>
      <c r="N477" s="148"/>
      <c r="O477" s="148">
        <v>0</v>
      </c>
      <c r="P477" s="148">
        <v>0</v>
      </c>
      <c r="Q477" s="148">
        <v>0</v>
      </c>
      <c r="R477" s="148">
        <v>0</v>
      </c>
      <c r="S477" s="148">
        <v>0</v>
      </c>
      <c r="T477" s="148">
        <v>0</v>
      </c>
      <c r="U477" s="148">
        <v>0</v>
      </c>
      <c r="V477" s="148">
        <v>0</v>
      </c>
      <c r="W477" s="148">
        <v>0</v>
      </c>
      <c r="X477" s="148">
        <v>0</v>
      </c>
      <c r="Y477" s="148">
        <v>0</v>
      </c>
      <c r="Z477" s="148">
        <v>0</v>
      </c>
      <c r="AA477" s="148"/>
      <c r="AB477" s="148">
        <v>0</v>
      </c>
      <c r="AC477" s="148">
        <v>0</v>
      </c>
      <c r="AD477" s="148">
        <v>0</v>
      </c>
      <c r="AE477" s="148">
        <v>0</v>
      </c>
      <c r="AF477" s="148">
        <v>0</v>
      </c>
      <c r="AG477" s="148">
        <v>0</v>
      </c>
      <c r="AH477" s="148">
        <v>0</v>
      </c>
      <c r="AI477" s="148">
        <v>0</v>
      </c>
      <c r="AJ477" s="148">
        <v>0</v>
      </c>
      <c r="AK477" s="148">
        <v>0</v>
      </c>
      <c r="AL477" s="148">
        <v>0</v>
      </c>
      <c r="AM477" s="148">
        <v>0</v>
      </c>
      <c r="AN477" s="148"/>
    </row>
    <row r="478" spans="1:40" ht="14.4" x14ac:dyDescent="0.3">
      <c r="A478" s="147" t="s">
        <v>878</v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</row>
    <row r="479" spans="1:40" ht="10.199999999999999" x14ac:dyDescent="0.2">
      <c r="A479" s="147" t="s">
        <v>879</v>
      </c>
      <c r="B479" s="148">
        <v>0</v>
      </c>
      <c r="C479" s="148">
        <v>0</v>
      </c>
      <c r="D479" s="148">
        <v>0</v>
      </c>
      <c r="E479" s="148">
        <v>0</v>
      </c>
      <c r="F479" s="148">
        <v>0</v>
      </c>
      <c r="G479" s="148">
        <v>0</v>
      </c>
      <c r="H479" s="148">
        <v>0</v>
      </c>
      <c r="I479" s="148">
        <v>0</v>
      </c>
      <c r="J479" s="148">
        <v>0</v>
      </c>
      <c r="K479" s="148">
        <v>0</v>
      </c>
      <c r="L479" s="148">
        <v>0</v>
      </c>
      <c r="M479" s="148">
        <v>0</v>
      </c>
      <c r="N479" s="148"/>
      <c r="O479" s="148">
        <v>0</v>
      </c>
      <c r="P479" s="148">
        <v>0</v>
      </c>
      <c r="Q479" s="148">
        <v>0</v>
      </c>
      <c r="R479" s="148">
        <v>0</v>
      </c>
      <c r="S479" s="148">
        <v>0</v>
      </c>
      <c r="T479" s="148">
        <v>0</v>
      </c>
      <c r="U479" s="148">
        <v>0</v>
      </c>
      <c r="V479" s="148">
        <v>0</v>
      </c>
      <c r="W479" s="148">
        <v>0</v>
      </c>
      <c r="X479" s="148">
        <v>0</v>
      </c>
      <c r="Y479" s="148">
        <v>0</v>
      </c>
      <c r="Z479" s="148">
        <v>0</v>
      </c>
      <c r="AA479" s="148"/>
      <c r="AB479" s="148">
        <v>0</v>
      </c>
      <c r="AC479" s="148">
        <v>0</v>
      </c>
      <c r="AD479" s="148">
        <v>0</v>
      </c>
      <c r="AE479" s="148">
        <v>0</v>
      </c>
      <c r="AF479" s="148">
        <v>0</v>
      </c>
      <c r="AG479" s="148">
        <v>0</v>
      </c>
      <c r="AH479" s="148">
        <v>0</v>
      </c>
      <c r="AI479" s="148">
        <v>0</v>
      </c>
      <c r="AJ479" s="148">
        <v>0</v>
      </c>
      <c r="AK479" s="148">
        <v>0</v>
      </c>
      <c r="AL479" s="148">
        <v>0</v>
      </c>
      <c r="AM479" s="148">
        <v>0</v>
      </c>
      <c r="AN479" s="148"/>
    </row>
    <row r="480" spans="1:40" ht="10.199999999999999" x14ac:dyDescent="0.2">
      <c r="A480" s="147" t="s">
        <v>880</v>
      </c>
      <c r="B480" s="148">
        <v>0</v>
      </c>
      <c r="C480" s="148">
        <v>0</v>
      </c>
      <c r="D480" s="148">
        <v>0</v>
      </c>
      <c r="E480" s="148">
        <v>0</v>
      </c>
      <c r="F480" s="148">
        <v>0</v>
      </c>
      <c r="G480" s="148">
        <v>0</v>
      </c>
      <c r="H480" s="148">
        <v>0</v>
      </c>
      <c r="I480" s="148">
        <v>0</v>
      </c>
      <c r="J480" s="148">
        <v>0</v>
      </c>
      <c r="K480" s="148">
        <v>0</v>
      </c>
      <c r="L480" s="148">
        <v>0</v>
      </c>
      <c r="M480" s="148">
        <v>1</v>
      </c>
      <c r="N480" s="148"/>
      <c r="O480" s="148">
        <v>0</v>
      </c>
      <c r="P480" s="148">
        <v>0</v>
      </c>
      <c r="Q480" s="148">
        <v>0</v>
      </c>
      <c r="R480" s="148">
        <v>0</v>
      </c>
      <c r="S480" s="148">
        <v>0</v>
      </c>
      <c r="T480" s="148">
        <v>0</v>
      </c>
      <c r="U480" s="148">
        <v>0</v>
      </c>
      <c r="V480" s="148">
        <v>0</v>
      </c>
      <c r="W480" s="148">
        <v>0</v>
      </c>
      <c r="X480" s="148">
        <v>0</v>
      </c>
      <c r="Y480" s="148">
        <v>0</v>
      </c>
      <c r="Z480" s="148">
        <v>1</v>
      </c>
      <c r="AA480" s="148"/>
      <c r="AB480" s="148">
        <v>0</v>
      </c>
      <c r="AC480" s="148">
        <v>0</v>
      </c>
      <c r="AD480" s="148">
        <v>0</v>
      </c>
      <c r="AE480" s="148">
        <v>0</v>
      </c>
      <c r="AF480" s="148">
        <v>0</v>
      </c>
      <c r="AG480" s="148">
        <v>0</v>
      </c>
      <c r="AH480" s="148">
        <v>0</v>
      </c>
      <c r="AI480" s="148">
        <v>0</v>
      </c>
      <c r="AJ480" s="148">
        <v>0</v>
      </c>
      <c r="AK480" s="148">
        <v>0</v>
      </c>
      <c r="AL480" s="148">
        <v>0</v>
      </c>
      <c r="AM480" s="148">
        <v>1</v>
      </c>
      <c r="AN480" s="148"/>
    </row>
    <row r="481" spans="1:40" ht="10.199999999999999" x14ac:dyDescent="0.2">
      <c r="A481" s="147" t="s">
        <v>881</v>
      </c>
      <c r="B481" s="148">
        <v>0</v>
      </c>
      <c r="C481" s="148">
        <v>0</v>
      </c>
      <c r="D481" s="148">
        <v>0</v>
      </c>
      <c r="E481" s="148">
        <v>0</v>
      </c>
      <c r="F481" s="148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-4.5474735088646402E-13</v>
      </c>
      <c r="N481" s="148"/>
      <c r="O481" s="148">
        <v>0</v>
      </c>
      <c r="P481" s="148">
        <v>0</v>
      </c>
      <c r="Q481" s="148">
        <v>0</v>
      </c>
      <c r="R481" s="148">
        <v>0</v>
      </c>
      <c r="S481" s="148">
        <v>0</v>
      </c>
      <c r="T481" s="148">
        <v>0</v>
      </c>
      <c r="U481" s="148">
        <v>0</v>
      </c>
      <c r="V481" s="148">
        <v>0</v>
      </c>
      <c r="W481" s="148">
        <v>0</v>
      </c>
      <c r="X481" s="148">
        <v>0</v>
      </c>
      <c r="Y481" s="148">
        <v>0</v>
      </c>
      <c r="Z481" s="148">
        <v>0</v>
      </c>
      <c r="AA481" s="148"/>
      <c r="AB481" s="148">
        <v>0</v>
      </c>
      <c r="AC481" s="148">
        <v>0</v>
      </c>
      <c r="AD481" s="148">
        <v>0</v>
      </c>
      <c r="AE481" s="148">
        <v>0</v>
      </c>
      <c r="AF481" s="148">
        <v>0</v>
      </c>
      <c r="AG481" s="148">
        <v>0</v>
      </c>
      <c r="AH481" s="148">
        <v>0</v>
      </c>
      <c r="AI481" s="148">
        <v>0</v>
      </c>
      <c r="AJ481" s="148">
        <v>0</v>
      </c>
      <c r="AK481" s="148">
        <v>0</v>
      </c>
      <c r="AL481" s="148">
        <v>0</v>
      </c>
      <c r="AM481" s="148">
        <v>0</v>
      </c>
      <c r="AN481" s="148"/>
    </row>
    <row r="482" spans="1:40" ht="10.199999999999999" x14ac:dyDescent="0.2">
      <c r="A482" s="147" t="s">
        <v>882</v>
      </c>
      <c r="B482" s="148">
        <v>0</v>
      </c>
      <c r="C482" s="148">
        <v>0</v>
      </c>
      <c r="D482" s="148">
        <v>1</v>
      </c>
      <c r="E482" s="148">
        <v>0</v>
      </c>
      <c r="F482" s="148"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/>
      <c r="O482" s="148">
        <v>0</v>
      </c>
      <c r="P482" s="148">
        <v>0</v>
      </c>
      <c r="Q482" s="148">
        <v>1</v>
      </c>
      <c r="R482" s="148">
        <v>0</v>
      </c>
      <c r="S482" s="148">
        <v>0</v>
      </c>
      <c r="T482" s="148">
        <v>0</v>
      </c>
      <c r="U482" s="148">
        <v>0</v>
      </c>
      <c r="V482" s="148">
        <v>0</v>
      </c>
      <c r="W482" s="148">
        <v>0</v>
      </c>
      <c r="X482" s="148">
        <v>0</v>
      </c>
      <c r="Y482" s="148">
        <v>0</v>
      </c>
      <c r="Z482" s="148">
        <v>0</v>
      </c>
      <c r="AA482" s="148"/>
      <c r="AB482" s="148">
        <v>0</v>
      </c>
      <c r="AC482" s="148">
        <v>0</v>
      </c>
      <c r="AD482" s="148">
        <v>1</v>
      </c>
      <c r="AE482" s="148">
        <v>0</v>
      </c>
      <c r="AF482" s="148">
        <v>0</v>
      </c>
      <c r="AG482" s="148">
        <v>0</v>
      </c>
      <c r="AH482" s="148">
        <v>0</v>
      </c>
      <c r="AI482" s="148">
        <v>0</v>
      </c>
      <c r="AJ482" s="148">
        <v>0</v>
      </c>
      <c r="AK482" s="148">
        <v>0</v>
      </c>
      <c r="AL482" s="148">
        <v>0</v>
      </c>
      <c r="AM482" s="148">
        <v>0</v>
      </c>
      <c r="AN482" s="148"/>
    </row>
    <row r="483" spans="1:40" ht="10.199999999999999" x14ac:dyDescent="0.2">
      <c r="A483" s="147" t="s">
        <v>883</v>
      </c>
      <c r="B483" s="148">
        <v>0</v>
      </c>
      <c r="C483" s="148">
        <v>0</v>
      </c>
      <c r="D483" s="148">
        <v>0</v>
      </c>
      <c r="E483" s="148">
        <v>0</v>
      </c>
      <c r="F483" s="148">
        <v>0</v>
      </c>
      <c r="G483" s="148">
        <v>0</v>
      </c>
      <c r="H483" s="148">
        <v>0</v>
      </c>
      <c r="I483" s="148">
        <v>0</v>
      </c>
      <c r="J483" s="148">
        <v>0</v>
      </c>
      <c r="K483" s="148">
        <v>0</v>
      </c>
      <c r="L483" s="148">
        <v>0</v>
      </c>
      <c r="M483" s="148">
        <v>0</v>
      </c>
      <c r="N483" s="148"/>
      <c r="O483" s="148">
        <v>0</v>
      </c>
      <c r="P483" s="148">
        <v>0</v>
      </c>
      <c r="Q483" s="148">
        <v>0</v>
      </c>
      <c r="R483" s="148">
        <v>0</v>
      </c>
      <c r="S483" s="148">
        <v>0</v>
      </c>
      <c r="T483" s="148">
        <v>0</v>
      </c>
      <c r="U483" s="148">
        <v>0</v>
      </c>
      <c r="V483" s="148">
        <v>0</v>
      </c>
      <c r="W483" s="148">
        <v>0</v>
      </c>
      <c r="X483" s="148">
        <v>0</v>
      </c>
      <c r="Y483" s="148">
        <v>0</v>
      </c>
      <c r="Z483" s="148">
        <v>0</v>
      </c>
      <c r="AA483" s="148"/>
      <c r="AB483" s="148">
        <v>0</v>
      </c>
      <c r="AC483" s="148">
        <v>0</v>
      </c>
      <c r="AD483" s="148">
        <v>0</v>
      </c>
      <c r="AE483" s="148">
        <v>0</v>
      </c>
      <c r="AF483" s="148">
        <v>0</v>
      </c>
      <c r="AG483" s="148">
        <v>0</v>
      </c>
      <c r="AH483" s="148">
        <v>0</v>
      </c>
      <c r="AI483" s="148">
        <v>0</v>
      </c>
      <c r="AJ483" s="148">
        <v>0</v>
      </c>
      <c r="AK483" s="148">
        <v>0</v>
      </c>
      <c r="AL483" s="148">
        <v>0</v>
      </c>
      <c r="AM483" s="148">
        <v>0</v>
      </c>
      <c r="AN483" s="148"/>
    </row>
    <row r="484" spans="1:40" ht="10.199999999999999" x14ac:dyDescent="0.2">
      <c r="A484" s="147" t="s">
        <v>884</v>
      </c>
      <c r="B484" s="148">
        <v>0</v>
      </c>
      <c r="C484" s="148">
        <v>0</v>
      </c>
      <c r="D484" s="148">
        <v>0</v>
      </c>
      <c r="E484" s="148">
        <v>0</v>
      </c>
      <c r="F484" s="148">
        <v>0</v>
      </c>
      <c r="G484" s="148">
        <v>0</v>
      </c>
      <c r="H484" s="148">
        <v>0</v>
      </c>
      <c r="I484" s="148">
        <v>0</v>
      </c>
      <c r="J484" s="148">
        <v>0</v>
      </c>
      <c r="K484" s="148">
        <v>0</v>
      </c>
      <c r="L484" s="148">
        <v>0</v>
      </c>
      <c r="M484" s="148">
        <v>0</v>
      </c>
      <c r="N484" s="148"/>
      <c r="O484" s="148">
        <v>0</v>
      </c>
      <c r="P484" s="148">
        <v>0</v>
      </c>
      <c r="Q484" s="148">
        <v>0</v>
      </c>
      <c r="R484" s="148">
        <v>0</v>
      </c>
      <c r="S484" s="148">
        <v>0</v>
      </c>
      <c r="T484" s="148">
        <v>0</v>
      </c>
      <c r="U484" s="148">
        <v>0</v>
      </c>
      <c r="V484" s="148">
        <v>0</v>
      </c>
      <c r="W484" s="148">
        <v>0</v>
      </c>
      <c r="X484" s="148">
        <v>0</v>
      </c>
      <c r="Y484" s="148">
        <v>0</v>
      </c>
      <c r="Z484" s="148">
        <v>0</v>
      </c>
      <c r="AA484" s="148"/>
      <c r="AB484" s="148">
        <v>0</v>
      </c>
      <c r="AC484" s="148">
        <v>0</v>
      </c>
      <c r="AD484" s="148">
        <v>0</v>
      </c>
      <c r="AE484" s="148">
        <v>0</v>
      </c>
      <c r="AF484" s="148">
        <v>0</v>
      </c>
      <c r="AG484" s="148">
        <v>0</v>
      </c>
      <c r="AH484" s="148">
        <v>0</v>
      </c>
      <c r="AI484" s="148">
        <v>0</v>
      </c>
      <c r="AJ484" s="148">
        <v>0</v>
      </c>
      <c r="AK484" s="148">
        <v>0</v>
      </c>
      <c r="AL484" s="148">
        <v>0</v>
      </c>
      <c r="AM484" s="148">
        <v>0</v>
      </c>
      <c r="AN484" s="148"/>
    </row>
    <row r="485" spans="1:40" ht="10.199999999999999" x14ac:dyDescent="0.2">
      <c r="A485" s="147" t="s">
        <v>885</v>
      </c>
      <c r="B485" s="148">
        <v>1</v>
      </c>
      <c r="C485" s="148">
        <v>1</v>
      </c>
      <c r="D485" s="148">
        <v>1</v>
      </c>
      <c r="E485" s="148">
        <v>1</v>
      </c>
      <c r="F485" s="148">
        <v>1</v>
      </c>
      <c r="G485" s="148">
        <v>1</v>
      </c>
      <c r="H485" s="148">
        <v>1</v>
      </c>
      <c r="I485" s="148">
        <v>1</v>
      </c>
      <c r="J485" s="148">
        <v>1</v>
      </c>
      <c r="K485" s="148">
        <v>1</v>
      </c>
      <c r="L485" s="148">
        <v>1</v>
      </c>
      <c r="M485" s="148">
        <v>1</v>
      </c>
      <c r="N485" s="148"/>
      <c r="O485" s="148">
        <v>1</v>
      </c>
      <c r="P485" s="148">
        <v>1</v>
      </c>
      <c r="Q485" s="148">
        <v>1</v>
      </c>
      <c r="R485" s="148">
        <v>1</v>
      </c>
      <c r="S485" s="148">
        <v>1</v>
      </c>
      <c r="T485" s="148">
        <v>1</v>
      </c>
      <c r="U485" s="148">
        <v>1</v>
      </c>
      <c r="V485" s="148">
        <v>1</v>
      </c>
      <c r="W485" s="148">
        <v>1</v>
      </c>
      <c r="X485" s="148">
        <v>1</v>
      </c>
      <c r="Y485" s="148">
        <v>1</v>
      </c>
      <c r="Z485" s="148">
        <v>1</v>
      </c>
      <c r="AA485" s="148"/>
      <c r="AB485" s="148">
        <v>1</v>
      </c>
      <c r="AC485" s="148">
        <v>1</v>
      </c>
      <c r="AD485" s="148">
        <v>1</v>
      </c>
      <c r="AE485" s="148">
        <v>1</v>
      </c>
      <c r="AF485" s="148">
        <v>1</v>
      </c>
      <c r="AG485" s="148">
        <v>1</v>
      </c>
      <c r="AH485" s="148">
        <v>1</v>
      </c>
      <c r="AI485" s="148">
        <v>1</v>
      </c>
      <c r="AJ485" s="148">
        <v>1</v>
      </c>
      <c r="AK485" s="148">
        <v>1</v>
      </c>
      <c r="AL485" s="148">
        <v>1</v>
      </c>
      <c r="AM485" s="148">
        <v>1</v>
      </c>
      <c r="AN485" s="148"/>
    </row>
    <row r="486" spans="1:40" ht="10.199999999999999" x14ac:dyDescent="0.2">
      <c r="A486" s="147" t="s">
        <v>886</v>
      </c>
      <c r="B486" s="148">
        <v>0</v>
      </c>
      <c r="C486" s="148">
        <v>0</v>
      </c>
      <c r="D486" s="148">
        <v>0</v>
      </c>
      <c r="E486" s="148">
        <v>0</v>
      </c>
      <c r="F486" s="148">
        <v>0</v>
      </c>
      <c r="G486" s="148">
        <v>0</v>
      </c>
      <c r="H486" s="148">
        <v>0</v>
      </c>
      <c r="I486" s="148">
        <v>0</v>
      </c>
      <c r="J486" s="148">
        <v>0</v>
      </c>
      <c r="K486" s="148">
        <v>0</v>
      </c>
      <c r="L486" s="148">
        <v>0</v>
      </c>
      <c r="M486" s="148">
        <v>-4.5474735088646402E-13</v>
      </c>
      <c r="N486" s="148"/>
      <c r="O486" s="148">
        <v>0</v>
      </c>
      <c r="P486" s="148">
        <v>0</v>
      </c>
      <c r="Q486" s="148">
        <v>0</v>
      </c>
      <c r="R486" s="148">
        <v>0</v>
      </c>
      <c r="S486" s="148">
        <v>0</v>
      </c>
      <c r="T486" s="148">
        <v>0</v>
      </c>
      <c r="U486" s="148">
        <v>0</v>
      </c>
      <c r="V486" s="148">
        <v>0</v>
      </c>
      <c r="W486" s="148">
        <v>0</v>
      </c>
      <c r="X486" s="148">
        <v>0</v>
      </c>
      <c r="Y486" s="148">
        <v>0</v>
      </c>
      <c r="Z486" s="148">
        <v>0</v>
      </c>
      <c r="AA486" s="148"/>
      <c r="AB486" s="148">
        <v>0</v>
      </c>
      <c r="AC486" s="148">
        <v>0</v>
      </c>
      <c r="AD486" s="148">
        <v>0</v>
      </c>
      <c r="AE486" s="148">
        <v>0</v>
      </c>
      <c r="AF486" s="148">
        <v>0</v>
      </c>
      <c r="AG486" s="148">
        <v>0</v>
      </c>
      <c r="AH486" s="148">
        <v>0</v>
      </c>
      <c r="AI486" s="148">
        <v>0</v>
      </c>
      <c r="AJ486" s="148">
        <v>0</v>
      </c>
      <c r="AK486" s="148">
        <v>0</v>
      </c>
      <c r="AL486" s="148">
        <v>0</v>
      </c>
      <c r="AM486" s="148">
        <v>0</v>
      </c>
      <c r="AN486" s="148"/>
    </row>
    <row r="487" spans="1:40" ht="10.199999999999999" x14ac:dyDescent="0.2">
      <c r="A487" s="147" t="s">
        <v>887</v>
      </c>
      <c r="B487" s="148">
        <v>0</v>
      </c>
      <c r="C487" s="148">
        <v>0</v>
      </c>
      <c r="D487" s="148">
        <v>0</v>
      </c>
      <c r="E487" s="148">
        <v>0</v>
      </c>
      <c r="F487" s="148">
        <v>0</v>
      </c>
      <c r="G487" s="148">
        <v>0</v>
      </c>
      <c r="H487" s="148">
        <v>0</v>
      </c>
      <c r="I487" s="148">
        <v>0</v>
      </c>
      <c r="J487" s="148">
        <v>0</v>
      </c>
      <c r="K487" s="148">
        <v>0</v>
      </c>
      <c r="L487" s="148">
        <v>0</v>
      </c>
      <c r="M487" s="148">
        <v>0</v>
      </c>
      <c r="N487" s="148"/>
      <c r="O487" s="148">
        <v>0</v>
      </c>
      <c r="P487" s="148">
        <v>0</v>
      </c>
      <c r="Q487" s="148">
        <v>0</v>
      </c>
      <c r="R487" s="148">
        <v>0</v>
      </c>
      <c r="S487" s="148">
        <v>0</v>
      </c>
      <c r="T487" s="148">
        <v>0</v>
      </c>
      <c r="U487" s="148">
        <v>0</v>
      </c>
      <c r="V487" s="148">
        <v>0</v>
      </c>
      <c r="W487" s="148">
        <v>0</v>
      </c>
      <c r="X487" s="148">
        <v>0</v>
      </c>
      <c r="Y487" s="148">
        <v>0</v>
      </c>
      <c r="Z487" s="148">
        <v>0</v>
      </c>
      <c r="AA487" s="148"/>
      <c r="AB487" s="148">
        <v>0</v>
      </c>
      <c r="AC487" s="148">
        <v>0</v>
      </c>
      <c r="AD487" s="148">
        <v>0</v>
      </c>
      <c r="AE487" s="148">
        <v>0</v>
      </c>
      <c r="AF487" s="148">
        <v>0</v>
      </c>
      <c r="AG487" s="148">
        <v>0</v>
      </c>
      <c r="AH487" s="148">
        <v>0</v>
      </c>
      <c r="AI487" s="148">
        <v>0</v>
      </c>
      <c r="AJ487" s="148">
        <v>0</v>
      </c>
      <c r="AK487" s="148">
        <v>0</v>
      </c>
      <c r="AL487" s="148">
        <v>0</v>
      </c>
      <c r="AM487" s="148">
        <v>0</v>
      </c>
      <c r="AN487" s="148"/>
    </row>
    <row r="488" spans="1:40" ht="10.199999999999999" x14ac:dyDescent="0.2">
      <c r="A488" s="147" t="s">
        <v>888</v>
      </c>
      <c r="B488" s="148">
        <v>0</v>
      </c>
      <c r="C488" s="148">
        <v>0</v>
      </c>
      <c r="D488" s="148">
        <v>0</v>
      </c>
      <c r="E488" s="148">
        <v>0</v>
      </c>
      <c r="F488" s="148">
        <v>0</v>
      </c>
      <c r="G488" s="148">
        <v>0</v>
      </c>
      <c r="H488" s="148">
        <v>0</v>
      </c>
      <c r="I488" s="148">
        <v>0</v>
      </c>
      <c r="J488" s="148">
        <v>0</v>
      </c>
      <c r="K488" s="148">
        <v>0</v>
      </c>
      <c r="L488" s="148">
        <v>0</v>
      </c>
      <c r="M488" s="148">
        <v>0</v>
      </c>
      <c r="N488" s="148"/>
      <c r="O488" s="148">
        <v>0</v>
      </c>
      <c r="P488" s="148">
        <v>0</v>
      </c>
      <c r="Q488" s="148">
        <v>0</v>
      </c>
      <c r="R488" s="148">
        <v>0</v>
      </c>
      <c r="S488" s="148">
        <v>0</v>
      </c>
      <c r="T488" s="148">
        <v>0</v>
      </c>
      <c r="U488" s="148">
        <v>0</v>
      </c>
      <c r="V488" s="148">
        <v>0</v>
      </c>
      <c r="W488" s="148">
        <v>0</v>
      </c>
      <c r="X488" s="148">
        <v>0</v>
      </c>
      <c r="Y488" s="148">
        <v>0</v>
      </c>
      <c r="Z488" s="148">
        <v>0</v>
      </c>
      <c r="AA488" s="148"/>
      <c r="AB488" s="148">
        <v>0</v>
      </c>
      <c r="AC488" s="148">
        <v>0</v>
      </c>
      <c r="AD488" s="148">
        <v>0</v>
      </c>
      <c r="AE488" s="148">
        <v>0</v>
      </c>
      <c r="AF488" s="148">
        <v>0</v>
      </c>
      <c r="AG488" s="148">
        <v>0</v>
      </c>
      <c r="AH488" s="148">
        <v>0</v>
      </c>
      <c r="AI488" s="148">
        <v>0</v>
      </c>
      <c r="AJ488" s="148">
        <v>0</v>
      </c>
      <c r="AK488" s="148">
        <v>0</v>
      </c>
      <c r="AL488" s="148">
        <v>0</v>
      </c>
      <c r="AM488" s="148">
        <v>0</v>
      </c>
      <c r="AN488" s="148"/>
    </row>
    <row r="489" spans="1:40" ht="10.199999999999999" x14ac:dyDescent="0.2">
      <c r="A489" s="147" t="s">
        <v>889</v>
      </c>
      <c r="B489" s="148">
        <v>0</v>
      </c>
      <c r="C489" s="148">
        <v>0</v>
      </c>
      <c r="D489" s="148">
        <v>0</v>
      </c>
      <c r="E489" s="148">
        <v>0</v>
      </c>
      <c r="F489" s="148">
        <v>0</v>
      </c>
      <c r="G489" s="148">
        <v>0</v>
      </c>
      <c r="H489" s="148">
        <v>0</v>
      </c>
      <c r="I489" s="148">
        <v>0</v>
      </c>
      <c r="J489" s="148">
        <v>0</v>
      </c>
      <c r="K489" s="148">
        <v>0</v>
      </c>
      <c r="L489" s="148">
        <v>0</v>
      </c>
      <c r="M489" s="148">
        <v>0</v>
      </c>
      <c r="N489" s="148"/>
      <c r="O489" s="148">
        <v>0</v>
      </c>
      <c r="P489" s="148">
        <v>0</v>
      </c>
      <c r="Q489" s="148">
        <v>0</v>
      </c>
      <c r="R489" s="148">
        <v>0</v>
      </c>
      <c r="S489" s="148">
        <v>0</v>
      </c>
      <c r="T489" s="148">
        <v>0</v>
      </c>
      <c r="U489" s="148">
        <v>0</v>
      </c>
      <c r="V489" s="148">
        <v>0</v>
      </c>
      <c r="W489" s="148">
        <v>0</v>
      </c>
      <c r="X489" s="148">
        <v>0</v>
      </c>
      <c r="Y489" s="148">
        <v>0</v>
      </c>
      <c r="Z489" s="148">
        <v>0</v>
      </c>
      <c r="AA489" s="148"/>
      <c r="AB489" s="148">
        <v>0</v>
      </c>
      <c r="AC489" s="148">
        <v>0</v>
      </c>
      <c r="AD489" s="148">
        <v>0</v>
      </c>
      <c r="AE489" s="148">
        <v>0</v>
      </c>
      <c r="AF489" s="148">
        <v>0</v>
      </c>
      <c r="AG489" s="148">
        <v>0</v>
      </c>
      <c r="AH489" s="148">
        <v>0</v>
      </c>
      <c r="AI489" s="148">
        <v>0</v>
      </c>
      <c r="AJ489" s="148">
        <v>0</v>
      </c>
      <c r="AK489" s="148">
        <v>0</v>
      </c>
      <c r="AL489" s="148">
        <v>0</v>
      </c>
      <c r="AM489" s="148">
        <v>0</v>
      </c>
      <c r="AN489" s="148"/>
    </row>
    <row r="490" spans="1:40" ht="14.4" x14ac:dyDescent="0.3">
      <c r="A490" s="147" t="s">
        <v>890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</row>
    <row r="491" spans="1:40" ht="10.199999999999999" x14ac:dyDescent="0.2">
      <c r="A491" s="147" t="s">
        <v>891</v>
      </c>
      <c r="B491" s="148">
        <v>201801</v>
      </c>
      <c r="C491" s="148">
        <v>201801</v>
      </c>
      <c r="D491" s="148">
        <v>201801</v>
      </c>
      <c r="E491" s="148">
        <v>201801</v>
      </c>
      <c r="F491" s="148">
        <v>201801</v>
      </c>
      <c r="G491" s="148">
        <v>201801</v>
      </c>
      <c r="H491" s="148">
        <v>201801</v>
      </c>
      <c r="I491" s="148">
        <v>201801</v>
      </c>
      <c r="J491" s="148">
        <v>201801</v>
      </c>
      <c r="K491" s="148">
        <v>201801</v>
      </c>
      <c r="L491" s="148">
        <v>201801</v>
      </c>
      <c r="M491" s="148">
        <v>201801</v>
      </c>
      <c r="N491" s="148"/>
      <c r="O491" s="148">
        <v>201801</v>
      </c>
      <c r="P491" s="148">
        <v>201801</v>
      </c>
      <c r="Q491" s="148">
        <v>201801</v>
      </c>
      <c r="R491" s="148">
        <v>201801</v>
      </c>
      <c r="S491" s="148">
        <v>201801</v>
      </c>
      <c r="T491" s="148">
        <v>201801</v>
      </c>
      <c r="U491" s="148">
        <v>201801</v>
      </c>
      <c r="V491" s="148">
        <v>201801</v>
      </c>
      <c r="W491" s="148">
        <v>201801</v>
      </c>
      <c r="X491" s="148">
        <v>201801</v>
      </c>
      <c r="Y491" s="148">
        <v>201801</v>
      </c>
      <c r="Z491" s="148">
        <v>201801</v>
      </c>
      <c r="AA491" s="148"/>
      <c r="AB491" s="148">
        <v>201801</v>
      </c>
      <c r="AC491" s="148">
        <v>201801</v>
      </c>
      <c r="AD491" s="148">
        <v>201801</v>
      </c>
      <c r="AE491" s="148">
        <v>201801</v>
      </c>
      <c r="AF491" s="148">
        <v>201801</v>
      </c>
      <c r="AG491" s="148">
        <v>201801</v>
      </c>
      <c r="AH491" s="148">
        <v>201801</v>
      </c>
      <c r="AI491" s="148">
        <v>201801</v>
      </c>
      <c r="AJ491" s="148">
        <v>201801</v>
      </c>
      <c r="AK491" s="148">
        <v>201801</v>
      </c>
      <c r="AL491" s="148">
        <v>201801</v>
      </c>
      <c r="AM491" s="148">
        <v>201801</v>
      </c>
      <c r="AN491" s="148"/>
    </row>
    <row r="492" spans="1:40" ht="10.199999999999999" x14ac:dyDescent="0.2">
      <c r="A492" s="147" t="s">
        <v>892</v>
      </c>
      <c r="B492" s="148">
        <v>201801</v>
      </c>
      <c r="C492" s="148">
        <v>201802</v>
      </c>
      <c r="D492" s="148">
        <v>201803</v>
      </c>
      <c r="E492" s="148">
        <v>201804</v>
      </c>
      <c r="F492" s="148">
        <v>201805</v>
      </c>
      <c r="G492" s="148">
        <v>201806</v>
      </c>
      <c r="H492" s="148">
        <v>201807</v>
      </c>
      <c r="I492" s="148">
        <v>201808</v>
      </c>
      <c r="J492" s="148">
        <v>201809</v>
      </c>
      <c r="K492" s="148">
        <v>201810</v>
      </c>
      <c r="L492" s="148">
        <v>201811</v>
      </c>
      <c r="M492" s="148">
        <v>201812</v>
      </c>
      <c r="N492" s="148"/>
      <c r="O492" s="148">
        <v>201901</v>
      </c>
      <c r="P492" s="148">
        <v>201902</v>
      </c>
      <c r="Q492" s="148">
        <v>201903</v>
      </c>
      <c r="R492" s="148">
        <v>201904</v>
      </c>
      <c r="S492" s="148">
        <v>201905</v>
      </c>
      <c r="T492" s="148">
        <v>201906</v>
      </c>
      <c r="U492" s="148">
        <v>201907</v>
      </c>
      <c r="V492" s="148">
        <v>201908</v>
      </c>
      <c r="W492" s="148">
        <v>201909</v>
      </c>
      <c r="X492" s="148">
        <v>201910</v>
      </c>
      <c r="Y492" s="148">
        <v>201911</v>
      </c>
      <c r="Z492" s="148">
        <v>201912</v>
      </c>
      <c r="AA492" s="148"/>
      <c r="AB492" s="148">
        <v>202001</v>
      </c>
      <c r="AC492" s="148">
        <v>202002</v>
      </c>
      <c r="AD492" s="148">
        <v>202003</v>
      </c>
      <c r="AE492" s="148">
        <v>202004</v>
      </c>
      <c r="AF492" s="148">
        <v>202005</v>
      </c>
      <c r="AG492" s="148">
        <v>202006</v>
      </c>
      <c r="AH492" s="148">
        <v>202007</v>
      </c>
      <c r="AI492" s="148">
        <v>202008</v>
      </c>
      <c r="AJ492" s="148">
        <v>202009</v>
      </c>
      <c r="AK492" s="148">
        <v>202010</v>
      </c>
      <c r="AL492" s="148">
        <v>202011</v>
      </c>
      <c r="AM492" s="148">
        <v>202012</v>
      </c>
      <c r="AN492" s="148"/>
    </row>
    <row r="493" spans="1:40" ht="10.199999999999999" x14ac:dyDescent="0.2">
      <c r="A493" s="147" t="s">
        <v>893</v>
      </c>
      <c r="B493" s="148">
        <v>0</v>
      </c>
      <c r="C493" s="148">
        <v>0</v>
      </c>
      <c r="D493" s="148">
        <v>0</v>
      </c>
      <c r="E493" s="148">
        <v>0</v>
      </c>
      <c r="F493" s="148">
        <v>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/>
      <c r="O493" s="148">
        <v>0</v>
      </c>
      <c r="P493" s="148">
        <v>0</v>
      </c>
      <c r="Q493" s="148">
        <v>0</v>
      </c>
      <c r="R493" s="148">
        <v>0</v>
      </c>
      <c r="S493" s="148">
        <v>0</v>
      </c>
      <c r="T493" s="148">
        <v>0</v>
      </c>
      <c r="U493" s="148">
        <v>0</v>
      </c>
      <c r="V493" s="148">
        <v>0</v>
      </c>
      <c r="W493" s="148">
        <v>0</v>
      </c>
      <c r="X493" s="148">
        <v>0</v>
      </c>
      <c r="Y493" s="148">
        <v>0</v>
      </c>
      <c r="Z493" s="148">
        <v>0</v>
      </c>
      <c r="AA493" s="148"/>
      <c r="AB493" s="148">
        <v>0</v>
      </c>
      <c r="AC493" s="148">
        <v>0</v>
      </c>
      <c r="AD493" s="148">
        <v>0</v>
      </c>
      <c r="AE493" s="148">
        <v>0</v>
      </c>
      <c r="AF493" s="148">
        <v>0</v>
      </c>
      <c r="AG493" s="148">
        <v>0</v>
      </c>
      <c r="AH493" s="148">
        <v>0</v>
      </c>
      <c r="AI493" s="148">
        <v>0</v>
      </c>
      <c r="AJ493" s="148">
        <v>0</v>
      </c>
      <c r="AK493" s="148">
        <v>0</v>
      </c>
      <c r="AL493" s="148">
        <v>0</v>
      </c>
      <c r="AM493" s="148">
        <v>0</v>
      </c>
      <c r="AN493" s="148"/>
    </row>
    <row r="494" spans="1:40" ht="10.199999999999999" x14ac:dyDescent="0.2">
      <c r="A494" s="147" t="s">
        <v>894</v>
      </c>
      <c r="B494" s="148">
        <v>0</v>
      </c>
      <c r="C494" s="148">
        <v>0</v>
      </c>
      <c r="D494" s="148">
        <v>0</v>
      </c>
      <c r="E494" s="148">
        <v>0</v>
      </c>
      <c r="F494" s="148">
        <v>0</v>
      </c>
      <c r="G494" s="148">
        <v>0</v>
      </c>
      <c r="H494" s="148">
        <v>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/>
      <c r="O494" s="148">
        <v>0</v>
      </c>
      <c r="P494" s="148">
        <v>0</v>
      </c>
      <c r="Q494" s="148">
        <v>0</v>
      </c>
      <c r="R494" s="148">
        <v>0</v>
      </c>
      <c r="S494" s="148">
        <v>0</v>
      </c>
      <c r="T494" s="148">
        <v>0</v>
      </c>
      <c r="U494" s="148">
        <v>0</v>
      </c>
      <c r="V494" s="148">
        <v>0</v>
      </c>
      <c r="W494" s="148">
        <v>0</v>
      </c>
      <c r="X494" s="148">
        <v>0</v>
      </c>
      <c r="Y494" s="148">
        <v>0</v>
      </c>
      <c r="Z494" s="148">
        <v>0</v>
      </c>
      <c r="AA494" s="148"/>
      <c r="AB494" s="148">
        <v>0</v>
      </c>
      <c r="AC494" s="148">
        <v>0</v>
      </c>
      <c r="AD494" s="148">
        <v>0</v>
      </c>
      <c r="AE494" s="148">
        <v>0</v>
      </c>
      <c r="AF494" s="148">
        <v>0</v>
      </c>
      <c r="AG494" s="148">
        <v>0</v>
      </c>
      <c r="AH494" s="148">
        <v>0</v>
      </c>
      <c r="AI494" s="148">
        <v>0</v>
      </c>
      <c r="AJ494" s="148">
        <v>0</v>
      </c>
      <c r="AK494" s="148">
        <v>0</v>
      </c>
      <c r="AL494" s="148">
        <v>0</v>
      </c>
      <c r="AM494" s="148">
        <v>0</v>
      </c>
      <c r="AN494" s="148"/>
    </row>
    <row r="495" spans="1:40" ht="10.199999999999999" x14ac:dyDescent="0.2">
      <c r="A495" s="147" t="s">
        <v>895</v>
      </c>
      <c r="B495" s="148">
        <v>1</v>
      </c>
      <c r="C495" s="148">
        <v>1</v>
      </c>
      <c r="D495" s="148">
        <v>1</v>
      </c>
      <c r="E495" s="148">
        <v>1</v>
      </c>
      <c r="F495" s="148">
        <v>1</v>
      </c>
      <c r="G495" s="148">
        <v>1</v>
      </c>
      <c r="H495" s="148">
        <v>1</v>
      </c>
      <c r="I495" s="148">
        <v>1</v>
      </c>
      <c r="J495" s="148">
        <v>1</v>
      </c>
      <c r="K495" s="148">
        <v>1</v>
      </c>
      <c r="L495" s="148">
        <v>1</v>
      </c>
      <c r="M495" s="148">
        <v>1</v>
      </c>
      <c r="N495" s="148"/>
      <c r="O495" s="148">
        <v>1</v>
      </c>
      <c r="P495" s="148">
        <v>1</v>
      </c>
      <c r="Q495" s="148">
        <v>1</v>
      </c>
      <c r="R495" s="148">
        <v>1</v>
      </c>
      <c r="S495" s="148">
        <v>1</v>
      </c>
      <c r="T495" s="148">
        <v>1</v>
      </c>
      <c r="U495" s="148">
        <v>1</v>
      </c>
      <c r="V495" s="148">
        <v>1</v>
      </c>
      <c r="W495" s="148">
        <v>1</v>
      </c>
      <c r="X495" s="148">
        <v>1</v>
      </c>
      <c r="Y495" s="148">
        <v>1</v>
      </c>
      <c r="Z495" s="148">
        <v>1</v>
      </c>
      <c r="AA495" s="148"/>
      <c r="AB495" s="148">
        <v>1</v>
      </c>
      <c r="AC495" s="148">
        <v>1</v>
      </c>
      <c r="AD495" s="148">
        <v>1</v>
      </c>
      <c r="AE495" s="148">
        <v>1</v>
      </c>
      <c r="AF495" s="148">
        <v>1</v>
      </c>
      <c r="AG495" s="148">
        <v>1</v>
      </c>
      <c r="AH495" s="148">
        <v>1</v>
      </c>
      <c r="AI495" s="148">
        <v>1</v>
      </c>
      <c r="AJ495" s="148">
        <v>1</v>
      </c>
      <c r="AK495" s="148">
        <v>1</v>
      </c>
      <c r="AL495" s="148">
        <v>1</v>
      </c>
      <c r="AM495" s="148">
        <v>1</v>
      </c>
      <c r="AN495" s="148"/>
    </row>
    <row r="496" spans="1:40" ht="10.199999999999999" x14ac:dyDescent="0.2">
      <c r="A496" s="147" t="s">
        <v>896</v>
      </c>
      <c r="B496" s="148">
        <v>6132.5776500000002</v>
      </c>
      <c r="C496" s="148">
        <v>6014.2587800000001</v>
      </c>
      <c r="D496" s="148">
        <v>6195.2992000000004</v>
      </c>
      <c r="E496" s="148">
        <v>6259.1302900000001</v>
      </c>
      <c r="F496" s="148">
        <v>6435.9657399999996</v>
      </c>
      <c r="G496" s="148">
        <v>6417.9518699999999</v>
      </c>
      <c r="H496" s="148">
        <v>6471.4221588123801</v>
      </c>
      <c r="I496" s="148">
        <v>6505.3345495372696</v>
      </c>
      <c r="J496" s="148">
        <v>6539.4812821590704</v>
      </c>
      <c r="K496" s="148">
        <v>6666.4058677188405</v>
      </c>
      <c r="L496" s="148">
        <v>6757.9901128914098</v>
      </c>
      <c r="M496" s="148">
        <v>6836.4087328997903</v>
      </c>
      <c r="N496" s="148"/>
      <c r="O496" s="148">
        <v>6863.0474162477803</v>
      </c>
      <c r="P496" s="148">
        <v>6842.9490638720799</v>
      </c>
      <c r="Q496" s="148">
        <v>6943.5070892304502</v>
      </c>
      <c r="R496" s="148">
        <v>7112.4231766918001</v>
      </c>
      <c r="S496" s="148">
        <v>8347.8481134560298</v>
      </c>
      <c r="T496" s="148">
        <v>8032.3188390892701</v>
      </c>
      <c r="U496" s="148">
        <v>8073.5519803709203</v>
      </c>
      <c r="V496" s="148">
        <v>8111.7386691252204</v>
      </c>
      <c r="W496" s="148">
        <v>8132.7566295000597</v>
      </c>
      <c r="X496" s="148">
        <v>8237.0052077226901</v>
      </c>
      <c r="Y496" s="148">
        <v>8356.5426232551108</v>
      </c>
      <c r="Z496" s="148">
        <v>8417.0038284176899</v>
      </c>
      <c r="AA496" s="148"/>
      <c r="AB496" s="148">
        <v>8344.21927551507</v>
      </c>
      <c r="AC496" s="148">
        <v>8243.6543017613494</v>
      </c>
      <c r="AD496" s="148">
        <v>8302.9323481019492</v>
      </c>
      <c r="AE496" s="148">
        <v>8370.8463110780704</v>
      </c>
      <c r="AF496" s="148">
        <v>8424.8266826976796</v>
      </c>
      <c r="AG496" s="148">
        <v>8448.23303635509</v>
      </c>
      <c r="AH496" s="148">
        <v>8479.98936617463</v>
      </c>
      <c r="AI496" s="148">
        <v>8487.9421492537604</v>
      </c>
      <c r="AJ496" s="148">
        <v>8508.5466569710297</v>
      </c>
      <c r="AK496" s="148">
        <v>8599.9033173903008</v>
      </c>
      <c r="AL496" s="148">
        <v>8469.6867377968792</v>
      </c>
      <c r="AM496" s="148">
        <v>8526.5299654028495</v>
      </c>
      <c r="AN496" s="148"/>
    </row>
    <row r="497" spans="1:40" ht="10.199999999999999" x14ac:dyDescent="0.2">
      <c r="A497" s="147" t="s">
        <v>897</v>
      </c>
      <c r="B497" s="148">
        <v>0</v>
      </c>
      <c r="C497" s="148">
        <v>0</v>
      </c>
      <c r="D497" s="148">
        <v>0</v>
      </c>
      <c r="E497" s="148">
        <v>0</v>
      </c>
      <c r="F497" s="148">
        <v>0</v>
      </c>
      <c r="G497" s="148">
        <v>0</v>
      </c>
      <c r="H497" s="148">
        <v>0</v>
      </c>
      <c r="I497" s="148">
        <v>0</v>
      </c>
      <c r="J497" s="148">
        <v>0</v>
      </c>
      <c r="K497" s="148">
        <v>0</v>
      </c>
      <c r="L497" s="148">
        <v>0</v>
      </c>
      <c r="M497" s="148">
        <v>0</v>
      </c>
      <c r="N497" s="148"/>
      <c r="O497" s="148">
        <v>0</v>
      </c>
      <c r="P497" s="148">
        <v>0</v>
      </c>
      <c r="Q497" s="148">
        <v>0</v>
      </c>
      <c r="R497" s="148">
        <v>0</v>
      </c>
      <c r="S497" s="148">
        <v>0</v>
      </c>
      <c r="T497" s="148">
        <v>0</v>
      </c>
      <c r="U497" s="148">
        <v>0</v>
      </c>
      <c r="V497" s="148">
        <v>0</v>
      </c>
      <c r="W497" s="148">
        <v>0</v>
      </c>
      <c r="X497" s="148">
        <v>0</v>
      </c>
      <c r="Y497" s="148">
        <v>0</v>
      </c>
      <c r="Z497" s="148">
        <v>0</v>
      </c>
      <c r="AA497" s="148"/>
      <c r="AB497" s="148">
        <v>0</v>
      </c>
      <c r="AC497" s="148">
        <v>0</v>
      </c>
      <c r="AD497" s="148">
        <v>0</v>
      </c>
      <c r="AE497" s="148">
        <v>0</v>
      </c>
      <c r="AF497" s="148">
        <v>0</v>
      </c>
      <c r="AG497" s="148">
        <v>0</v>
      </c>
      <c r="AH497" s="148">
        <v>0</v>
      </c>
      <c r="AI497" s="148">
        <v>0</v>
      </c>
      <c r="AJ497" s="148">
        <v>0</v>
      </c>
      <c r="AK497" s="148">
        <v>0</v>
      </c>
      <c r="AL497" s="148">
        <v>0</v>
      </c>
      <c r="AM497" s="148">
        <v>0</v>
      </c>
      <c r="AN497" s="148"/>
    </row>
    <row r="498" spans="1:40" ht="10.199999999999999" x14ac:dyDescent="0.2">
      <c r="A498" s="147" t="s">
        <v>898</v>
      </c>
      <c r="B498" s="148">
        <v>6132.5776500000002</v>
      </c>
      <c r="C498" s="148">
        <v>6014.2587800000001</v>
      </c>
      <c r="D498" s="148">
        <v>6195.2992000000004</v>
      </c>
      <c r="E498" s="148">
        <v>6259.1302900000001</v>
      </c>
      <c r="F498" s="148">
        <v>6435.9657399999996</v>
      </c>
      <c r="G498" s="148">
        <v>6417.9518699999999</v>
      </c>
      <c r="H498" s="148">
        <v>6471.4221588123801</v>
      </c>
      <c r="I498" s="148">
        <v>6505.3345495372696</v>
      </c>
      <c r="J498" s="148">
        <v>6539.4812821590704</v>
      </c>
      <c r="K498" s="148">
        <v>6666.4058677188405</v>
      </c>
      <c r="L498" s="148">
        <v>6757.9901128914098</v>
      </c>
      <c r="M498" s="148">
        <v>6836.4087328997903</v>
      </c>
      <c r="N498" s="148"/>
      <c r="O498" s="148">
        <v>6863.0474162477803</v>
      </c>
      <c r="P498" s="148">
        <v>6842.9490638720799</v>
      </c>
      <c r="Q498" s="148">
        <v>6943.5070892304502</v>
      </c>
      <c r="R498" s="148">
        <v>7112.4231766918001</v>
      </c>
      <c r="S498" s="148">
        <v>8347.8481134560298</v>
      </c>
      <c r="T498" s="148">
        <v>8032.3188390892701</v>
      </c>
      <c r="U498" s="148">
        <v>8073.5519803709203</v>
      </c>
      <c r="V498" s="148">
        <v>8111.7386691252204</v>
      </c>
      <c r="W498" s="148">
        <v>8132.7566295000597</v>
      </c>
      <c r="X498" s="148">
        <v>8237.0052077226901</v>
      </c>
      <c r="Y498" s="148">
        <v>8356.5426232551108</v>
      </c>
      <c r="Z498" s="148">
        <v>8417.0038284176899</v>
      </c>
      <c r="AA498" s="148"/>
      <c r="AB498" s="148">
        <v>8344.21927551507</v>
      </c>
      <c r="AC498" s="148">
        <v>8243.6543017613494</v>
      </c>
      <c r="AD498" s="148">
        <v>8302.9323481019492</v>
      </c>
      <c r="AE498" s="148">
        <v>8370.8463110780704</v>
      </c>
      <c r="AF498" s="148">
        <v>8424.8266826976796</v>
      </c>
      <c r="AG498" s="148">
        <v>8448.23303635509</v>
      </c>
      <c r="AH498" s="148">
        <v>8479.98936617463</v>
      </c>
      <c r="AI498" s="148">
        <v>8487.9421492537604</v>
      </c>
      <c r="AJ498" s="148">
        <v>8508.5466569710297</v>
      </c>
      <c r="AK498" s="148">
        <v>8599.9033173903008</v>
      </c>
      <c r="AL498" s="148">
        <v>8469.6867377968792</v>
      </c>
      <c r="AM498" s="148">
        <v>8526.5299654028495</v>
      </c>
      <c r="AN498" s="148"/>
    </row>
    <row r="499" spans="1:40" ht="10.199999999999999" x14ac:dyDescent="0.2">
      <c r="A499" s="147" t="s">
        <v>899</v>
      </c>
      <c r="B499" s="148">
        <v>0</v>
      </c>
      <c r="C499" s="148">
        <v>0</v>
      </c>
      <c r="D499" s="148">
        <v>0</v>
      </c>
      <c r="E499" s="148">
        <v>0</v>
      </c>
      <c r="F499" s="148">
        <v>0</v>
      </c>
      <c r="G499" s="148">
        <v>0</v>
      </c>
      <c r="H499" s="148">
        <v>0</v>
      </c>
      <c r="I499" s="148">
        <v>0</v>
      </c>
      <c r="J499" s="148">
        <v>0</v>
      </c>
      <c r="K499" s="148">
        <v>0</v>
      </c>
      <c r="L499" s="148">
        <v>0</v>
      </c>
      <c r="M499" s="148">
        <v>0</v>
      </c>
      <c r="N499" s="148"/>
      <c r="O499" s="148">
        <v>0</v>
      </c>
      <c r="P499" s="148">
        <v>0</v>
      </c>
      <c r="Q499" s="148">
        <v>0</v>
      </c>
      <c r="R499" s="148">
        <v>0</v>
      </c>
      <c r="S499" s="148">
        <v>0</v>
      </c>
      <c r="T499" s="148">
        <v>0</v>
      </c>
      <c r="U499" s="148">
        <v>0</v>
      </c>
      <c r="V499" s="148">
        <v>0</v>
      </c>
      <c r="W499" s="148">
        <v>0</v>
      </c>
      <c r="X499" s="148">
        <v>0</v>
      </c>
      <c r="Y499" s="148">
        <v>0</v>
      </c>
      <c r="Z499" s="148">
        <v>0</v>
      </c>
      <c r="AA499" s="148"/>
      <c r="AB499" s="148">
        <v>0</v>
      </c>
      <c r="AC499" s="148">
        <v>0</v>
      </c>
      <c r="AD499" s="148">
        <v>0</v>
      </c>
      <c r="AE499" s="148">
        <v>0</v>
      </c>
      <c r="AF499" s="148">
        <v>0</v>
      </c>
      <c r="AG499" s="148">
        <v>0</v>
      </c>
      <c r="AH499" s="148">
        <v>0</v>
      </c>
      <c r="AI499" s="148">
        <v>0</v>
      </c>
      <c r="AJ499" s="148">
        <v>0</v>
      </c>
      <c r="AK499" s="148">
        <v>0</v>
      </c>
      <c r="AL499" s="148">
        <v>0</v>
      </c>
      <c r="AM499" s="148">
        <v>0</v>
      </c>
      <c r="AN499" s="148"/>
    </row>
    <row r="500" spans="1:40" ht="14.4" x14ac:dyDescent="0.3">
      <c r="A500" s="147" t="s">
        <v>900</v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</row>
    <row r="501" spans="1:40" ht="14.4" x14ac:dyDescent="0.3">
      <c r="A501" s="147" t="s">
        <v>901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</row>
    <row r="65536" spans="14:14" ht="10.199999999999999" x14ac:dyDescent="0.2">
      <c r="N65536" s="14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workbookViewId="0">
      <selection activeCell="A2" sqref="A2"/>
    </sheetView>
  </sheetViews>
  <sheetFormatPr defaultColWidth="9.109375" defaultRowHeight="8.4" x14ac:dyDescent="0.15"/>
  <cols>
    <col min="1" max="1" width="36.5546875" style="2" customWidth="1"/>
    <col min="2" max="4" width="10.6640625" style="1" customWidth="1"/>
    <col min="5" max="16384" width="9.109375" style="1"/>
  </cols>
  <sheetData>
    <row r="1" spans="1:4" s="3" customFormat="1" ht="10.199999999999999" x14ac:dyDescent="0.2">
      <c r="A1" s="63"/>
      <c r="B1" s="62"/>
      <c r="C1" s="62"/>
      <c r="D1" s="62"/>
    </row>
    <row r="2" spans="1:4" s="3" customFormat="1" ht="10.199999999999999" x14ac:dyDescent="0.2">
      <c r="A2" s="63"/>
      <c r="B2" s="62" t="s">
        <v>7</v>
      </c>
      <c r="C2" s="62" t="s">
        <v>20</v>
      </c>
      <c r="D2" s="62" t="s">
        <v>33</v>
      </c>
    </row>
    <row r="3" spans="1:4" s="3" customFormat="1" ht="10.199999999999999" x14ac:dyDescent="0.2">
      <c r="A3" s="63"/>
      <c r="B3" s="62"/>
      <c r="C3" s="62"/>
      <c r="D3" s="62"/>
    </row>
    <row r="4" spans="1:4" ht="10.199999999999999" x14ac:dyDescent="0.2">
      <c r="A4" s="42"/>
      <c r="B4" s="43"/>
      <c r="C4" s="43"/>
      <c r="D4" s="43"/>
    </row>
    <row r="5" spans="1:4" ht="14.4" x14ac:dyDescent="0.3">
      <c r="A5" s="61" t="s">
        <v>932</v>
      </c>
      <c r="B5" s="59"/>
      <c r="C5" s="59"/>
      <c r="D5" s="59"/>
    </row>
    <row r="6" spans="1:4" ht="10.199999999999999" x14ac:dyDescent="0.2">
      <c r="A6" s="61" t="s">
        <v>933</v>
      </c>
      <c r="B6" s="60">
        <v>14.827426000000001</v>
      </c>
      <c r="C6" s="60">
        <v>23.723881599999999</v>
      </c>
      <c r="D6" s="60">
        <v>14.234328959999999</v>
      </c>
    </row>
    <row r="7" spans="1:4" ht="10.199999999999999" x14ac:dyDescent="0.2">
      <c r="A7" s="61" t="s">
        <v>116</v>
      </c>
      <c r="B7" s="60">
        <v>1347.5128839710001</v>
      </c>
      <c r="C7" s="60">
        <v>1917.9473372570001</v>
      </c>
      <c r="D7" s="60">
        <v>2450.9688123219998</v>
      </c>
    </row>
    <row r="8" spans="1:4" ht="10.199999999999999" x14ac:dyDescent="0.2">
      <c r="A8" s="61" t="s">
        <v>117</v>
      </c>
      <c r="B8" s="60">
        <v>0</v>
      </c>
      <c r="C8" s="60">
        <v>0</v>
      </c>
      <c r="D8" s="60">
        <v>0</v>
      </c>
    </row>
    <row r="9" spans="1:4" ht="10.199999999999999" x14ac:dyDescent="0.2">
      <c r="A9" s="61" t="s">
        <v>118</v>
      </c>
      <c r="B9" s="60">
        <v>101.362820793</v>
      </c>
      <c r="C9" s="60">
        <v>136.24361860900001</v>
      </c>
      <c r="D9" s="60">
        <v>123.263593363</v>
      </c>
    </row>
    <row r="10" spans="1:4" ht="10.199999999999999" x14ac:dyDescent="0.2">
      <c r="A10" s="61" t="s">
        <v>119</v>
      </c>
      <c r="B10" s="60">
        <v>7256.4877683999903</v>
      </c>
      <c r="C10" s="60">
        <v>8308.5411014000001</v>
      </c>
      <c r="D10" s="60">
        <v>10505.567136599901</v>
      </c>
    </row>
    <row r="11" spans="1:4" ht="10.199999999999999" x14ac:dyDescent="0.2">
      <c r="A11" s="61" t="s">
        <v>120</v>
      </c>
      <c r="B11" s="60">
        <v>0</v>
      </c>
      <c r="C11" s="60">
        <v>0</v>
      </c>
      <c r="D11" s="60">
        <v>0</v>
      </c>
    </row>
    <row r="12" spans="1:4" ht="10.199999999999999" x14ac:dyDescent="0.2">
      <c r="A12" s="61" t="s">
        <v>121</v>
      </c>
      <c r="B12" s="60">
        <v>2114.2909562279901</v>
      </c>
      <c r="C12" s="60">
        <v>4275.87548130099</v>
      </c>
      <c r="D12" s="60">
        <v>5158.3661229039999</v>
      </c>
    </row>
    <row r="13" spans="1:4" ht="10.199999999999999" x14ac:dyDescent="0.2">
      <c r="A13" s="61" t="s">
        <v>122</v>
      </c>
      <c r="B13" s="60">
        <v>1605.30486</v>
      </c>
      <c r="C13" s="60">
        <v>1152.9759699599999</v>
      </c>
      <c r="D13" s="60">
        <v>615.62222999999994</v>
      </c>
    </row>
    <row r="14" spans="1:4" ht="10.199999999999999" x14ac:dyDescent="0.2">
      <c r="A14" s="61" t="s">
        <v>934</v>
      </c>
      <c r="B14" s="60">
        <v>12.115886</v>
      </c>
      <c r="C14" s="60">
        <v>19.3854176</v>
      </c>
      <c r="D14" s="60">
        <v>11.63125056</v>
      </c>
    </row>
    <row r="15" spans="1:4" ht="10.199999999999999" x14ac:dyDescent="0.2">
      <c r="A15" s="61" t="s">
        <v>123</v>
      </c>
      <c r="B15" s="60">
        <v>47.656580003999998</v>
      </c>
      <c r="C15" s="60">
        <v>31.616039999999899</v>
      </c>
      <c r="D15" s="60">
        <v>18.836750003999999</v>
      </c>
    </row>
    <row r="16" spans="1:4" ht="10.199999999999999" x14ac:dyDescent="0.2">
      <c r="A16" s="61" t="s">
        <v>124</v>
      </c>
      <c r="B16" s="60">
        <v>8.6439800039999994</v>
      </c>
      <c r="C16" s="60">
        <v>8.3694699959999994</v>
      </c>
      <c r="D16" s="60">
        <v>9.2134899959999998</v>
      </c>
    </row>
    <row r="17" spans="1:4" ht="10.199999999999999" x14ac:dyDescent="0.2">
      <c r="A17" s="61" t="s">
        <v>125</v>
      </c>
      <c r="B17" s="60">
        <v>2178.3357808945898</v>
      </c>
      <c r="C17" s="60">
        <v>2319.7988948861998</v>
      </c>
      <c r="D17" s="60">
        <v>2496.9447893515899</v>
      </c>
    </row>
    <row r="18" spans="1:4" ht="10.199999999999999" x14ac:dyDescent="0.2">
      <c r="A18" s="61" t="s">
        <v>126</v>
      </c>
      <c r="B18" s="60">
        <v>-1.0131599999999901</v>
      </c>
      <c r="C18" s="60">
        <v>-4.54719999599999</v>
      </c>
      <c r="D18" s="60">
        <v>-1.6543100040000001</v>
      </c>
    </row>
    <row r="19" spans="1:4" ht="10.199999999999999" x14ac:dyDescent="0.2">
      <c r="A19" s="61" t="s">
        <v>127</v>
      </c>
      <c r="B19" s="60">
        <v>6.6510600000000002</v>
      </c>
      <c r="C19" s="60">
        <v>6.6490899959999998</v>
      </c>
      <c r="D19" s="60">
        <v>6.6510600000000002</v>
      </c>
    </row>
    <row r="20" spans="1:4" ht="10.199999999999999" x14ac:dyDescent="0.2">
      <c r="A20" s="61" t="s">
        <v>935</v>
      </c>
      <c r="B20" s="60">
        <v>247.55375599999999</v>
      </c>
      <c r="C20" s="60">
        <v>396.08600959999899</v>
      </c>
      <c r="D20" s="60">
        <v>315.59657575999898</v>
      </c>
    </row>
    <row r="21" spans="1:4" ht="10.199999999999999" x14ac:dyDescent="0.2">
      <c r="A21" s="61" t="s">
        <v>128</v>
      </c>
      <c r="B21" s="60">
        <v>261.21357</v>
      </c>
      <c r="C21" s="60">
        <v>159.34481004</v>
      </c>
      <c r="D21" s="60">
        <v>120.01197996000001</v>
      </c>
    </row>
    <row r="22" spans="1:4" ht="10.199999999999999" x14ac:dyDescent="0.2">
      <c r="A22" s="61" t="s">
        <v>129</v>
      </c>
      <c r="B22" s="60">
        <v>30762.747639000001</v>
      </c>
      <c r="C22" s="60">
        <v>35606.228800848003</v>
      </c>
      <c r="D22" s="60">
        <v>42015.194959203902</v>
      </c>
    </row>
    <row r="23" spans="1:4" ht="10.199999999999999" x14ac:dyDescent="0.2">
      <c r="A23" s="61" t="s">
        <v>130</v>
      </c>
      <c r="B23" s="60">
        <v>4437.3547755</v>
      </c>
      <c r="C23" s="60">
        <v>4633.2191588621899</v>
      </c>
      <c r="D23" s="60">
        <v>4344.4564224838896</v>
      </c>
    </row>
    <row r="24" spans="1:4" ht="10.199999999999999" x14ac:dyDescent="0.2">
      <c r="A24" s="61" t="s">
        <v>131</v>
      </c>
      <c r="B24" s="60">
        <v>0</v>
      </c>
      <c r="C24" s="60">
        <v>0</v>
      </c>
      <c r="D24" s="60">
        <v>0</v>
      </c>
    </row>
    <row r="25" spans="1:4" ht="10.199999999999999" x14ac:dyDescent="0.2">
      <c r="A25" s="61" t="s">
        <v>132</v>
      </c>
      <c r="B25" s="60">
        <v>0</v>
      </c>
      <c r="C25" s="60">
        <v>0</v>
      </c>
      <c r="D25" s="60">
        <v>0</v>
      </c>
    </row>
    <row r="26" spans="1:4" ht="10.199999999999999" x14ac:dyDescent="0.2">
      <c r="A26" s="61" t="s">
        <v>133</v>
      </c>
      <c r="B26" s="60">
        <v>1997.83018794799</v>
      </c>
      <c r="C26" s="60">
        <v>1771.1668401019999</v>
      </c>
      <c r="D26" s="60">
        <v>1591.2202453509999</v>
      </c>
    </row>
    <row r="27" spans="1:4" ht="10.199999999999999" x14ac:dyDescent="0.2">
      <c r="A27" s="61" t="s">
        <v>134</v>
      </c>
      <c r="B27" s="60">
        <v>2812.48263946</v>
      </c>
      <c r="C27" s="60">
        <v>3248.1553899699902</v>
      </c>
      <c r="D27" s="60">
        <v>3610.6447264650001</v>
      </c>
    </row>
    <row r="28" spans="1:4" ht="10.199999999999999" x14ac:dyDescent="0.2">
      <c r="A28" s="61" t="s">
        <v>530</v>
      </c>
      <c r="B28" s="60">
        <v>4007.1895533749898</v>
      </c>
      <c r="C28" s="60">
        <v>3744.7197386121002</v>
      </c>
      <c r="D28" s="60">
        <v>3601.8587161205</v>
      </c>
    </row>
    <row r="29" spans="1:4" ht="10.199999999999999" x14ac:dyDescent="0.2">
      <c r="A29" s="61" t="s">
        <v>531</v>
      </c>
      <c r="B29" s="60">
        <v>0</v>
      </c>
      <c r="C29" s="60">
        <v>0</v>
      </c>
      <c r="D29" s="60">
        <v>0</v>
      </c>
    </row>
    <row r="30" spans="1:4" ht="10.199999999999999" x14ac:dyDescent="0.2">
      <c r="A30" s="61" t="s">
        <v>936</v>
      </c>
      <c r="B30" s="60">
        <v>17.02148</v>
      </c>
      <c r="C30" s="60">
        <v>27.234368</v>
      </c>
      <c r="D30" s="60">
        <v>16.3406208</v>
      </c>
    </row>
    <row r="31" spans="1:4" ht="10.199999999999999" x14ac:dyDescent="0.2">
      <c r="A31" s="61" t="s">
        <v>135</v>
      </c>
      <c r="B31" s="60">
        <v>49.082720003999903</v>
      </c>
      <c r="C31" s="60">
        <v>29.264250000000001</v>
      </c>
      <c r="D31" s="60">
        <v>20.569040003999898</v>
      </c>
    </row>
    <row r="32" spans="1:4" ht="10.199999999999999" x14ac:dyDescent="0.2">
      <c r="A32" s="61" t="s">
        <v>136</v>
      </c>
      <c r="B32" s="60">
        <v>106632.23582978699</v>
      </c>
      <c r="C32" s="60">
        <v>110001.631607605</v>
      </c>
      <c r="D32" s="60">
        <v>96281.1050073191</v>
      </c>
    </row>
    <row r="33" spans="1:5" ht="10.199999999999999" x14ac:dyDescent="0.2">
      <c r="A33" s="61" t="s">
        <v>937</v>
      </c>
      <c r="B33" s="60">
        <v>790.54190287200004</v>
      </c>
      <c r="C33" s="60">
        <v>2049.1530915409999</v>
      </c>
      <c r="D33" s="60">
        <v>2889.7263343330001</v>
      </c>
    </row>
    <row r="34" spans="1:5" ht="10.199999999999999" x14ac:dyDescent="0.2">
      <c r="A34" s="61" t="s">
        <v>137</v>
      </c>
      <c r="B34" s="60">
        <v>20.882999999999999</v>
      </c>
      <c r="C34" s="60">
        <v>11.807739995999899</v>
      </c>
      <c r="D34" s="60">
        <v>7.8063999959999997</v>
      </c>
    </row>
    <row r="35" spans="1:5" ht="10.199999999999999" x14ac:dyDescent="0.2">
      <c r="A35" s="61" t="s">
        <v>138</v>
      </c>
      <c r="B35" s="60">
        <v>11754.960879599899</v>
      </c>
      <c r="C35" s="60">
        <v>14179.770434099901</v>
      </c>
      <c r="D35" s="60">
        <v>15934.662656549899</v>
      </c>
    </row>
    <row r="36" spans="1:5" ht="10.199999999999999" x14ac:dyDescent="0.2">
      <c r="A36" s="61" t="s">
        <v>139</v>
      </c>
      <c r="B36" s="60">
        <v>10846.080740867999</v>
      </c>
      <c r="C36" s="60">
        <v>6855.6365907600002</v>
      </c>
      <c r="D36" s="60">
        <v>4419.69230039999</v>
      </c>
    </row>
    <row r="37" spans="1:5" ht="10.199999999999999" x14ac:dyDescent="0.2">
      <c r="A37" s="61" t="s">
        <v>938</v>
      </c>
      <c r="B37" s="60">
        <v>122.772716</v>
      </c>
      <c r="C37" s="60">
        <v>223.43356560000001</v>
      </c>
      <c r="D37" s="60">
        <v>161.05735935999999</v>
      </c>
    </row>
    <row r="38" spans="1:5" ht="10.199999999999999" x14ac:dyDescent="0.2">
      <c r="A38" s="61" t="s">
        <v>140</v>
      </c>
      <c r="B38" s="60">
        <v>30.278649995999999</v>
      </c>
      <c r="C38" s="60">
        <v>18.668229996000001</v>
      </c>
      <c r="D38" s="60">
        <v>11.782700003999899</v>
      </c>
    </row>
    <row r="39" spans="1:5" ht="10.199999999999999" x14ac:dyDescent="0.2">
      <c r="A39" s="61" t="s">
        <v>141</v>
      </c>
      <c r="B39" s="60">
        <v>26902.943311001101</v>
      </c>
      <c r="C39" s="60">
        <v>28732.501762870401</v>
      </c>
      <c r="D39" s="60">
        <v>28438.049049655401</v>
      </c>
    </row>
    <row r="40" spans="1:5" ht="10.199999999999999" x14ac:dyDescent="0.2">
      <c r="A40" s="61" t="s">
        <v>142</v>
      </c>
      <c r="B40" s="60">
        <v>0</v>
      </c>
      <c r="C40" s="60">
        <v>0</v>
      </c>
      <c r="D40" s="60">
        <v>0</v>
      </c>
    </row>
    <row r="41" spans="1:5" ht="10.199999999999999" x14ac:dyDescent="0.2">
      <c r="A41" s="61" t="s">
        <v>143</v>
      </c>
      <c r="B41" s="60">
        <v>0</v>
      </c>
      <c r="C41" s="60">
        <v>0</v>
      </c>
      <c r="D41" s="60">
        <v>0</v>
      </c>
    </row>
    <row r="42" spans="1:5" ht="10.199999999999999" x14ac:dyDescent="0.2">
      <c r="A42" s="61" t="s">
        <v>144</v>
      </c>
      <c r="B42" s="60">
        <v>4934.69586269512</v>
      </c>
      <c r="C42" s="60">
        <v>8954.9701810716906</v>
      </c>
      <c r="D42" s="60">
        <v>12922.9738387827</v>
      </c>
    </row>
    <row r="43" spans="1:5" ht="10.199999999999999" x14ac:dyDescent="0.2">
      <c r="A43" s="61" t="s">
        <v>939</v>
      </c>
      <c r="B43" s="60">
        <v>121.79831</v>
      </c>
      <c r="C43" s="60">
        <v>264.56788</v>
      </c>
      <c r="D43" s="60">
        <v>299.30318999999997</v>
      </c>
    </row>
    <row r="44" spans="1:5" ht="10.199999999999999" x14ac:dyDescent="0.2">
      <c r="A44" s="61" t="s">
        <v>145</v>
      </c>
      <c r="B44" s="60">
        <v>0</v>
      </c>
      <c r="C44" s="60">
        <v>0</v>
      </c>
      <c r="D44" s="60">
        <v>0</v>
      </c>
    </row>
    <row r="45" spans="1:5" ht="10.199999999999999" x14ac:dyDescent="0.2">
      <c r="A45" s="61" t="s">
        <v>146</v>
      </c>
      <c r="B45" s="60">
        <v>42.167189999999998</v>
      </c>
      <c r="C45" s="60">
        <v>24.057399995999901</v>
      </c>
      <c r="D45" s="60">
        <v>17.394830003999999</v>
      </c>
    </row>
    <row r="46" spans="1:5" ht="10.199999999999999" x14ac:dyDescent="0.2">
      <c r="A46" s="61" t="s">
        <v>147</v>
      </c>
      <c r="B46" s="60">
        <v>1584.4119335</v>
      </c>
      <c r="C46" s="60">
        <v>1633.36684974999</v>
      </c>
      <c r="D46" s="60">
        <v>3524.1592221349902</v>
      </c>
      <c r="E46" s="34">
        <f>SUM(E6:E45)</f>
        <v>0</v>
      </c>
    </row>
    <row r="47" spans="1:5" ht="10.199999999999999" x14ac:dyDescent="0.2">
      <c r="A47" s="61" t="s">
        <v>148</v>
      </c>
      <c r="B47" s="60">
        <v>0</v>
      </c>
      <c r="C47" s="60">
        <v>0</v>
      </c>
      <c r="D47" s="60">
        <v>0</v>
      </c>
    </row>
    <row r="48" spans="1:5" s="34" customFormat="1" ht="10.199999999999999" x14ac:dyDescent="0.2">
      <c r="A48" s="61" t="s">
        <v>149</v>
      </c>
      <c r="B48" s="60">
        <v>0</v>
      </c>
      <c r="C48" s="60">
        <v>0</v>
      </c>
      <c r="D48" s="60">
        <v>0</v>
      </c>
    </row>
    <row r="49" spans="1:4" s="34" customFormat="1" ht="10.199999999999999" x14ac:dyDescent="0.2">
      <c r="A49" s="61" t="s">
        <v>150</v>
      </c>
      <c r="B49" s="60">
        <v>5339.8889651</v>
      </c>
      <c r="C49" s="60">
        <v>6655.5560944500003</v>
      </c>
      <c r="D49" s="60">
        <v>7488.7606954049897</v>
      </c>
    </row>
    <row r="50" spans="1:4" s="34" customFormat="1" ht="10.199999999999999" x14ac:dyDescent="0.2">
      <c r="A50" s="61" t="s">
        <v>151</v>
      </c>
      <c r="B50" s="60">
        <v>852.68819000399901</v>
      </c>
      <c r="C50" s="60">
        <v>759.77504000399995</v>
      </c>
      <c r="D50" s="60">
        <v>706.358309964</v>
      </c>
    </row>
    <row r="51" spans="1:4" s="34" customFormat="1" ht="10.199999999999999" x14ac:dyDescent="0.2">
      <c r="A51" s="61" t="s">
        <v>532</v>
      </c>
      <c r="B51" s="60">
        <v>963.34479369999895</v>
      </c>
      <c r="C51" s="60">
        <v>766.43089187999897</v>
      </c>
      <c r="D51" s="60">
        <v>912.91206315199997</v>
      </c>
    </row>
    <row r="52" spans="1:4" s="34" customFormat="1" ht="10.199999999999999" x14ac:dyDescent="0.2">
      <c r="A52" s="61" t="s">
        <v>152</v>
      </c>
      <c r="B52" s="60">
        <v>2295.54063398566</v>
      </c>
      <c r="C52" s="60">
        <v>13250.3866110539</v>
      </c>
      <c r="D52" s="60">
        <v>22009.007693613701</v>
      </c>
    </row>
    <row r="53" spans="1:4" s="34" customFormat="1" ht="9" thickBot="1" x14ac:dyDescent="0.2">
      <c r="A53" s="35"/>
      <c r="B53" s="57">
        <f t="shared" ref="B53:D53" si="0">SUM(B6:B52)</f>
        <v>232519.88607269037</v>
      </c>
      <c r="C53" s="57">
        <f t="shared" si="0"/>
        <v>262193.71243931737</v>
      </c>
      <c r="D53" s="57">
        <f t="shared" si="0"/>
        <v>273070.29019087862</v>
      </c>
    </row>
    <row r="54" spans="1:4" s="34" customFormat="1" ht="9" thickTop="1" x14ac:dyDescent="0.15">
      <c r="A54" s="35"/>
    </row>
    <row r="55" spans="1:4" x14ac:dyDescent="0.15">
      <c r="A55" s="2" t="s">
        <v>107</v>
      </c>
      <c r="B55" s="1">
        <f t="shared" ref="B55:D55" si="1">SUM(B20:B36,B51:B52)</f>
        <v>177896.06410209954</v>
      </c>
      <c r="C55" s="34">
        <f t="shared" si="1"/>
        <v>196730.23633297009</v>
      </c>
      <c r="D55" s="34">
        <f t="shared" si="1"/>
        <v>198090.80574151201</v>
      </c>
    </row>
    <row r="56" spans="1:4" x14ac:dyDescent="0.15">
      <c r="A56" s="2" t="s">
        <v>109</v>
      </c>
      <c r="B56" s="1">
        <f t="shared" ref="B56:D56" si="2">SUM(B37:B50)</f>
        <v>39931.645128296223</v>
      </c>
      <c r="C56" s="34">
        <f t="shared" si="2"/>
        <v>47266.897003738093</v>
      </c>
      <c r="D56" s="34">
        <f t="shared" si="2"/>
        <v>53569.839195310087</v>
      </c>
    </row>
    <row r="57" spans="1:4" x14ac:dyDescent="0.15">
      <c r="A57" s="2" t="s">
        <v>153</v>
      </c>
      <c r="B57" s="6">
        <f t="shared" ref="B57:D57" si="3">SUM(B6:B19)</f>
        <v>14692.17684229457</v>
      </c>
      <c r="C57" s="6">
        <f t="shared" si="3"/>
        <v>18196.57910260919</v>
      </c>
      <c r="D57" s="6">
        <f t="shared" si="3"/>
        <v>21409.645254056493</v>
      </c>
    </row>
    <row r="58" spans="1:4" x14ac:dyDescent="0.15">
      <c r="B58" s="1">
        <f t="shared" ref="B58:D58" si="4">SUM(B55:B57)</f>
        <v>232519.88607269034</v>
      </c>
      <c r="C58" s="1">
        <f t="shared" si="4"/>
        <v>262193.71243931737</v>
      </c>
      <c r="D58" s="1">
        <f t="shared" si="4"/>
        <v>273070.29019087856</v>
      </c>
    </row>
    <row r="59" spans="1:4" x14ac:dyDescent="0.15">
      <c r="B59" s="1">
        <f>B58+'LG&amp;E Provision'!C70</f>
        <v>0</v>
      </c>
      <c r="C59" s="34">
        <f>C58+'LG&amp;E Provision'!D70</f>
        <v>0</v>
      </c>
      <c r="D59" s="34">
        <f>D58+'LG&amp;E Provision'!E70</f>
        <v>-5.2386894822120667E-10</v>
      </c>
    </row>
    <row r="60" spans="1:4" x14ac:dyDescent="0.15">
      <c r="A60" s="2" t="s">
        <v>154</v>
      </c>
    </row>
    <row r="62" spans="1:4" x14ac:dyDescent="0.15">
      <c r="A62" s="2" t="s">
        <v>155</v>
      </c>
      <c r="B62" s="1">
        <f t="shared" ref="B62:D62" si="5">(-B55-B57*0.7)*1000</f>
        <v>-188180587.89170575</v>
      </c>
      <c r="C62" s="1">
        <f t="shared" si="5"/>
        <v>-209467841.70479652</v>
      </c>
      <c r="D62" s="1">
        <f t="shared" si="5"/>
        <v>-213077557.41935158</v>
      </c>
    </row>
    <row r="63" spans="1:4" x14ac:dyDescent="0.15">
      <c r="A63" s="2" t="s">
        <v>156</v>
      </c>
      <c r="B63" s="6">
        <f t="shared" ref="B63:D63" si="6">(-B56-B57*0.3)*1000</f>
        <v>-44339298.180984594</v>
      </c>
      <c r="C63" s="6">
        <f t="shared" si="6"/>
        <v>-52725870.734520853</v>
      </c>
      <c r="D63" s="6">
        <f t="shared" si="6"/>
        <v>-59992732.771527037</v>
      </c>
    </row>
    <row r="64" spans="1:4" ht="9" thickBot="1" x14ac:dyDescent="0.2">
      <c r="B64" s="7">
        <f t="shared" ref="B64:D64" si="7">SUM(B62:B63)</f>
        <v>-232519886.07269034</v>
      </c>
      <c r="C64" s="7">
        <f t="shared" si="7"/>
        <v>-262193712.43931738</v>
      </c>
      <c r="D64" s="7">
        <f t="shared" si="7"/>
        <v>-273070290.19087863</v>
      </c>
    </row>
    <row r="65" spans="1:4" x14ac:dyDescent="0.15">
      <c r="B65" s="44">
        <f t="shared" ref="B65:D65" si="8">B64+B46*1000</f>
        <v>-230935474.13919035</v>
      </c>
      <c r="C65" s="44">
        <f t="shared" si="8"/>
        <v>-260560345.58956739</v>
      </c>
      <c r="D65" s="44">
        <f t="shared" si="8"/>
        <v>-269546130.96874362</v>
      </c>
    </row>
    <row r="67" spans="1:4" x14ac:dyDescent="0.15">
      <c r="A67" s="2" t="s">
        <v>157</v>
      </c>
      <c r="B67" s="8">
        <f t="shared" ref="B67:D67" si="9">+B62/B64</f>
        <v>0.80930965118775589</v>
      </c>
      <c r="C67" s="8">
        <f t="shared" si="9"/>
        <v>0.79890490033500006</v>
      </c>
      <c r="D67" s="8">
        <f t="shared" si="9"/>
        <v>0.78030296620847484</v>
      </c>
    </row>
    <row r="68" spans="1:4" x14ac:dyDescent="0.15">
      <c r="A68" s="2" t="s">
        <v>158</v>
      </c>
      <c r="B68" s="8">
        <f t="shared" ref="B68:D68" si="10">+B63/B64</f>
        <v>0.19069034881224417</v>
      </c>
      <c r="C68" s="8">
        <f t="shared" si="10"/>
        <v>0.20109509966499992</v>
      </c>
      <c r="D68" s="8">
        <f t="shared" si="10"/>
        <v>0.21969703379152514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workbookViewId="0">
      <selection activeCell="A2" sqref="A2"/>
    </sheetView>
  </sheetViews>
  <sheetFormatPr defaultColWidth="9.109375" defaultRowHeight="8.4" x14ac:dyDescent="0.15"/>
  <cols>
    <col min="1" max="1" width="30.6640625" style="2" customWidth="1"/>
    <col min="2" max="4" width="10.6640625" style="1" customWidth="1"/>
    <col min="5" max="16384" width="9.109375" style="1"/>
  </cols>
  <sheetData>
    <row r="1" spans="1:4" s="3" customFormat="1" ht="10.199999999999999" x14ac:dyDescent="0.2">
      <c r="A1" s="68"/>
      <c r="B1" s="67"/>
      <c r="C1" s="67"/>
      <c r="D1" s="67"/>
    </row>
    <row r="2" spans="1:4" s="3" customFormat="1" ht="10.199999999999999" x14ac:dyDescent="0.2">
      <c r="A2" s="68"/>
      <c r="B2" s="67" t="s">
        <v>7</v>
      </c>
      <c r="C2" s="67" t="s">
        <v>20</v>
      </c>
      <c r="D2" s="67" t="s">
        <v>33</v>
      </c>
    </row>
    <row r="3" spans="1:4" s="3" customFormat="1" ht="10.199999999999999" x14ac:dyDescent="0.2">
      <c r="A3" s="68"/>
      <c r="B3" s="67"/>
      <c r="C3" s="67"/>
      <c r="D3" s="67"/>
    </row>
    <row r="4" spans="1:4" ht="10.199999999999999" x14ac:dyDescent="0.2">
      <c r="A4" s="42"/>
      <c r="B4" s="43"/>
      <c r="C4" s="43"/>
      <c r="D4" s="43"/>
    </row>
    <row r="5" spans="1:4" ht="14.4" x14ac:dyDescent="0.3">
      <c r="A5" s="66" t="s">
        <v>940</v>
      </c>
      <c r="B5" s="64"/>
      <c r="C5" s="64"/>
      <c r="D5" s="64"/>
    </row>
    <row r="6" spans="1:4" ht="10.199999999999999" x14ac:dyDescent="0.2">
      <c r="A6" s="66" t="s">
        <v>933</v>
      </c>
      <c r="B6" s="65">
        <v>14.827426000000001</v>
      </c>
      <c r="C6" s="65">
        <v>23.723881599999999</v>
      </c>
      <c r="D6" s="65">
        <v>14.234328959999999</v>
      </c>
    </row>
    <row r="7" spans="1:4" ht="10.199999999999999" x14ac:dyDescent="0.2">
      <c r="A7" s="66" t="s">
        <v>116</v>
      </c>
      <c r="B7" s="65">
        <v>2409.2293935709999</v>
      </c>
      <c r="C7" s="65">
        <v>2691.375297653</v>
      </c>
      <c r="D7" s="65">
        <v>3079.2971923179998</v>
      </c>
    </row>
    <row r="8" spans="1:4" ht="10.199999999999999" x14ac:dyDescent="0.2">
      <c r="A8" s="66" t="s">
        <v>117</v>
      </c>
      <c r="B8" s="65">
        <v>0</v>
      </c>
      <c r="C8" s="65">
        <v>0</v>
      </c>
      <c r="D8" s="65">
        <v>0</v>
      </c>
    </row>
    <row r="9" spans="1:4" ht="10.199999999999999" x14ac:dyDescent="0.2">
      <c r="A9" s="66" t="s">
        <v>118</v>
      </c>
      <c r="B9" s="65">
        <v>167.82549078900001</v>
      </c>
      <c r="C9" s="65">
        <v>182.947688605</v>
      </c>
      <c r="D9" s="65">
        <v>156.856823359</v>
      </c>
    </row>
    <row r="10" spans="1:4" ht="10.199999999999999" x14ac:dyDescent="0.2">
      <c r="A10" s="66" t="s">
        <v>119</v>
      </c>
      <c r="B10" s="65">
        <v>12810.2929384</v>
      </c>
      <c r="C10" s="65">
        <v>11512.659500600001</v>
      </c>
      <c r="D10" s="65">
        <v>12548.358366599999</v>
      </c>
    </row>
    <row r="11" spans="1:4" ht="10.199999999999999" x14ac:dyDescent="0.2">
      <c r="A11" s="66" t="s">
        <v>120</v>
      </c>
      <c r="B11" s="65">
        <v>0</v>
      </c>
      <c r="C11" s="65">
        <v>0</v>
      </c>
      <c r="D11" s="65">
        <v>0</v>
      </c>
    </row>
    <row r="12" spans="1:4" ht="10.199999999999999" x14ac:dyDescent="0.2">
      <c r="A12" s="66" t="s">
        <v>121</v>
      </c>
      <c r="B12" s="65">
        <v>2420.9284661879901</v>
      </c>
      <c r="C12" s="65">
        <v>4511.9941813810001</v>
      </c>
      <c r="D12" s="65">
        <v>5336.0319028240001</v>
      </c>
    </row>
    <row r="13" spans="1:4" ht="10.199999999999999" x14ac:dyDescent="0.2">
      <c r="A13" s="66" t="s">
        <v>122</v>
      </c>
      <c r="B13" s="65">
        <v>3391.8606003599998</v>
      </c>
      <c r="C13" s="65">
        <v>2413.0898595599901</v>
      </c>
      <c r="D13" s="65">
        <v>1295.64975996</v>
      </c>
    </row>
    <row r="14" spans="1:4" ht="10.199999999999999" x14ac:dyDescent="0.2">
      <c r="A14" s="66" t="s">
        <v>934</v>
      </c>
      <c r="B14" s="65">
        <v>12.115886</v>
      </c>
      <c r="C14" s="65">
        <v>19.3854176</v>
      </c>
      <c r="D14" s="65">
        <v>11.63125056</v>
      </c>
    </row>
    <row r="15" spans="1:4" ht="10.199999999999999" x14ac:dyDescent="0.2">
      <c r="A15" s="66" t="s">
        <v>123</v>
      </c>
      <c r="B15" s="65">
        <v>87.757929995999902</v>
      </c>
      <c r="C15" s="65">
        <v>55.676850000000002</v>
      </c>
      <c r="D15" s="65">
        <v>33.895880003999999</v>
      </c>
    </row>
    <row r="16" spans="1:4" ht="10.199999999999999" x14ac:dyDescent="0.2">
      <c r="A16" s="66" t="s">
        <v>124</v>
      </c>
      <c r="B16" s="65">
        <v>18.950990004000001</v>
      </c>
      <c r="C16" s="65">
        <v>16.738919999999901</v>
      </c>
      <c r="D16" s="65">
        <v>18.42699</v>
      </c>
    </row>
    <row r="17" spans="1:4" ht="10.199999999999999" x14ac:dyDescent="0.2">
      <c r="A17" s="66" t="s">
        <v>125</v>
      </c>
      <c r="B17" s="65">
        <v>2164.4719904426001</v>
      </c>
      <c r="C17" s="65">
        <v>2308.6888145742</v>
      </c>
      <c r="D17" s="65">
        <v>2488.4808497876002</v>
      </c>
    </row>
    <row r="18" spans="1:4" ht="10.199999999999999" x14ac:dyDescent="0.2">
      <c r="A18" s="66" t="s">
        <v>126</v>
      </c>
      <c r="B18" s="65">
        <v>5.5288899959999904</v>
      </c>
      <c r="C18" s="65">
        <v>-1.53917999999999</v>
      </c>
      <c r="D18" s="65">
        <v>0.46900999199999899</v>
      </c>
    </row>
    <row r="19" spans="1:4" ht="10.199999999999999" x14ac:dyDescent="0.2">
      <c r="A19" s="66" t="s">
        <v>127</v>
      </c>
      <c r="B19" s="65">
        <v>6.6510600000000002</v>
      </c>
      <c r="C19" s="65">
        <v>6.6490899959999998</v>
      </c>
      <c r="D19" s="65">
        <v>6.6510600000000002</v>
      </c>
    </row>
    <row r="20" spans="1:4" ht="10.199999999999999" x14ac:dyDescent="0.2">
      <c r="A20" s="66" t="s">
        <v>935</v>
      </c>
      <c r="B20" s="65">
        <v>247.55375599999999</v>
      </c>
      <c r="C20" s="65">
        <v>396.08600959999899</v>
      </c>
      <c r="D20" s="65">
        <v>315.59657575999898</v>
      </c>
    </row>
    <row r="21" spans="1:4" ht="10.199999999999999" x14ac:dyDescent="0.2">
      <c r="A21" s="66" t="s">
        <v>128</v>
      </c>
      <c r="B21" s="65">
        <v>522.42710999999997</v>
      </c>
      <c r="C21" s="65">
        <v>318.68963003999897</v>
      </c>
      <c r="D21" s="65">
        <v>240.02396003999999</v>
      </c>
    </row>
    <row r="22" spans="1:4" ht="10.199999999999999" x14ac:dyDescent="0.2">
      <c r="A22" s="66" t="s">
        <v>129</v>
      </c>
      <c r="B22" s="65">
        <v>43740.4112429999</v>
      </c>
      <c r="C22" s="65">
        <v>47803.474198848002</v>
      </c>
      <c r="D22" s="65">
        <v>53534.938455208001</v>
      </c>
    </row>
    <row r="23" spans="1:4" ht="10.199999999999999" x14ac:dyDescent="0.2">
      <c r="A23" s="66" t="s">
        <v>130</v>
      </c>
      <c r="B23" s="65">
        <v>7898.3759151000004</v>
      </c>
      <c r="C23" s="65">
        <v>7835.0464196621997</v>
      </c>
      <c r="D23" s="65">
        <v>7359.9930828838897</v>
      </c>
    </row>
    <row r="24" spans="1:4" ht="10.199999999999999" x14ac:dyDescent="0.2">
      <c r="A24" s="66" t="s">
        <v>131</v>
      </c>
      <c r="B24" s="65">
        <v>0</v>
      </c>
      <c r="C24" s="65">
        <v>0</v>
      </c>
      <c r="D24" s="65">
        <v>0</v>
      </c>
    </row>
    <row r="25" spans="1:4" ht="10.199999999999999" x14ac:dyDescent="0.2">
      <c r="A25" s="66" t="s">
        <v>132</v>
      </c>
      <c r="B25" s="65">
        <v>0</v>
      </c>
      <c r="C25" s="65">
        <v>0</v>
      </c>
      <c r="D25" s="65">
        <v>0</v>
      </c>
    </row>
    <row r="26" spans="1:4" ht="10.199999999999999" x14ac:dyDescent="0.2">
      <c r="A26" s="66" t="s">
        <v>133</v>
      </c>
      <c r="B26" s="65">
        <v>4176.9352684279902</v>
      </c>
      <c r="C26" s="65">
        <v>3438.875580422</v>
      </c>
      <c r="D26" s="65">
        <v>2904.7744153509998</v>
      </c>
    </row>
    <row r="27" spans="1:4" ht="10.199999999999999" x14ac:dyDescent="0.2">
      <c r="A27" s="66" t="s">
        <v>134</v>
      </c>
      <c r="B27" s="65">
        <v>4036.4585490999998</v>
      </c>
      <c r="C27" s="65">
        <v>4370.0686705300004</v>
      </c>
      <c r="D27" s="65">
        <v>4661.4662066250003</v>
      </c>
    </row>
    <row r="28" spans="1:4" ht="10.199999999999999" x14ac:dyDescent="0.2">
      <c r="A28" s="66" t="s">
        <v>530</v>
      </c>
      <c r="B28" s="65">
        <v>7311.2530533749896</v>
      </c>
      <c r="C28" s="65">
        <v>6800.6133086120999</v>
      </c>
      <c r="D28" s="65">
        <v>6428.7921157205001</v>
      </c>
    </row>
    <row r="29" spans="1:4" ht="10.199999999999999" x14ac:dyDescent="0.2">
      <c r="A29" s="66" t="s">
        <v>531</v>
      </c>
      <c r="B29" s="65">
        <v>0</v>
      </c>
      <c r="C29" s="65">
        <v>0</v>
      </c>
      <c r="D29" s="65">
        <v>0</v>
      </c>
    </row>
    <row r="30" spans="1:4" ht="10.199999999999999" x14ac:dyDescent="0.2">
      <c r="A30" s="66" t="s">
        <v>936</v>
      </c>
      <c r="B30" s="65">
        <v>17.02148</v>
      </c>
      <c r="C30" s="65">
        <v>27.234368</v>
      </c>
      <c r="D30" s="65">
        <v>16.3406208</v>
      </c>
    </row>
    <row r="31" spans="1:4" ht="10.199999999999999" x14ac:dyDescent="0.2">
      <c r="A31" s="66" t="s">
        <v>135</v>
      </c>
      <c r="B31" s="65">
        <v>98.165450003999894</v>
      </c>
      <c r="C31" s="65">
        <v>58.528490003999998</v>
      </c>
      <c r="D31" s="65">
        <v>41.138100000000001</v>
      </c>
    </row>
    <row r="32" spans="1:4" ht="10.199999999999999" x14ac:dyDescent="0.2">
      <c r="A32" s="66" t="s">
        <v>136</v>
      </c>
      <c r="B32" s="65">
        <v>180926.81132250201</v>
      </c>
      <c r="C32" s="65">
        <v>182260.89091561301</v>
      </c>
      <c r="D32" s="65">
        <v>153493.15002174699</v>
      </c>
    </row>
    <row r="33" spans="1:4" ht="10.199999999999999" x14ac:dyDescent="0.2">
      <c r="A33" s="66" t="s">
        <v>937</v>
      </c>
      <c r="B33" s="65">
        <v>790.54190287200004</v>
      </c>
      <c r="C33" s="65">
        <v>2049.1530915409999</v>
      </c>
      <c r="D33" s="65">
        <v>2889.7263343330001</v>
      </c>
    </row>
    <row r="34" spans="1:4" ht="10.199999999999999" x14ac:dyDescent="0.2">
      <c r="A34" s="66" t="s">
        <v>137</v>
      </c>
      <c r="B34" s="65">
        <v>41.766020003999898</v>
      </c>
      <c r="C34" s="65">
        <v>23.615499995999901</v>
      </c>
      <c r="D34" s="65">
        <v>15.612800004</v>
      </c>
    </row>
    <row r="35" spans="1:4" ht="10.199999999999999" x14ac:dyDescent="0.2">
      <c r="A35" s="66" t="s">
        <v>138</v>
      </c>
      <c r="B35" s="65">
        <v>16024.333602000001</v>
      </c>
      <c r="C35" s="65">
        <v>18100.735420499899</v>
      </c>
      <c r="D35" s="65">
        <v>19594.3682761499</v>
      </c>
    </row>
    <row r="36" spans="1:4" ht="10.199999999999999" x14ac:dyDescent="0.2">
      <c r="A36" s="66" t="s">
        <v>139</v>
      </c>
      <c r="B36" s="65">
        <v>13696.5346288319</v>
      </c>
      <c r="C36" s="65">
        <v>9400.6329895920007</v>
      </c>
      <c r="D36" s="65">
        <v>6679.6553506679902</v>
      </c>
    </row>
    <row r="37" spans="1:4" ht="10.199999999999999" x14ac:dyDescent="0.2">
      <c r="A37" s="66" t="s">
        <v>938</v>
      </c>
      <c r="B37" s="65">
        <v>122.772716</v>
      </c>
      <c r="C37" s="65">
        <v>223.43356560000001</v>
      </c>
      <c r="D37" s="65">
        <v>161.05735935999999</v>
      </c>
    </row>
    <row r="38" spans="1:4" ht="10.199999999999999" x14ac:dyDescent="0.2">
      <c r="A38" s="66" t="s">
        <v>140</v>
      </c>
      <c r="B38" s="65">
        <v>60.557309999999902</v>
      </c>
      <c r="C38" s="65">
        <v>37.336490003999998</v>
      </c>
      <c r="D38" s="65">
        <v>23.565390000000001</v>
      </c>
    </row>
    <row r="39" spans="1:4" ht="10.199999999999999" x14ac:dyDescent="0.2">
      <c r="A39" s="66" t="s">
        <v>141</v>
      </c>
      <c r="B39" s="65">
        <v>39051.7410820023</v>
      </c>
      <c r="C39" s="65">
        <v>40046.789202840897</v>
      </c>
      <c r="D39" s="65">
        <v>39030.4223917009</v>
      </c>
    </row>
    <row r="40" spans="1:4" ht="10.199999999999999" x14ac:dyDescent="0.2">
      <c r="A40" s="66" t="s">
        <v>142</v>
      </c>
      <c r="B40" s="65">
        <v>0</v>
      </c>
      <c r="C40" s="65">
        <v>0</v>
      </c>
      <c r="D40" s="65">
        <v>0</v>
      </c>
    </row>
    <row r="41" spans="1:4" ht="10.199999999999999" x14ac:dyDescent="0.2">
      <c r="A41" s="66" t="s">
        <v>143</v>
      </c>
      <c r="B41" s="65">
        <v>0</v>
      </c>
      <c r="C41" s="65">
        <v>0</v>
      </c>
      <c r="D41" s="65">
        <v>0</v>
      </c>
    </row>
    <row r="42" spans="1:4" ht="10.199999999999999" x14ac:dyDescent="0.2">
      <c r="A42" s="66" t="s">
        <v>144</v>
      </c>
      <c r="B42" s="65">
        <v>5925.4016796657997</v>
      </c>
      <c r="C42" s="65">
        <v>9444.9259030880003</v>
      </c>
      <c r="D42" s="65">
        <v>13341.174284889001</v>
      </c>
    </row>
    <row r="43" spans="1:4" ht="10.199999999999999" x14ac:dyDescent="0.2">
      <c r="A43" s="66" t="s">
        <v>939</v>
      </c>
      <c r="B43" s="65">
        <v>121.79831</v>
      </c>
      <c r="C43" s="65">
        <v>264.56788</v>
      </c>
      <c r="D43" s="65">
        <v>299.30318999999997</v>
      </c>
    </row>
    <row r="44" spans="1:4" ht="10.199999999999999" x14ac:dyDescent="0.2">
      <c r="A44" s="66" t="s">
        <v>145</v>
      </c>
      <c r="B44" s="65">
        <v>0</v>
      </c>
      <c r="C44" s="65">
        <v>0</v>
      </c>
      <c r="D44" s="65">
        <v>0</v>
      </c>
    </row>
    <row r="45" spans="1:4" ht="10.199999999999999" x14ac:dyDescent="0.2">
      <c r="A45" s="66" t="s">
        <v>146</v>
      </c>
      <c r="B45" s="65">
        <v>84.334400003999903</v>
      </c>
      <c r="C45" s="65">
        <v>48.114800004000003</v>
      </c>
      <c r="D45" s="65">
        <v>34.789659995999997</v>
      </c>
    </row>
    <row r="46" spans="1:4" ht="10.199999999999999" x14ac:dyDescent="0.2">
      <c r="A46" s="66" t="s">
        <v>147</v>
      </c>
      <c r="B46" s="65">
        <v>3053.1899134999999</v>
      </c>
      <c r="C46" s="65">
        <v>2996.0132405499899</v>
      </c>
      <c r="D46" s="65">
        <v>4825.4783325349899</v>
      </c>
    </row>
    <row r="47" spans="1:4" ht="10.199999999999999" x14ac:dyDescent="0.2">
      <c r="A47" s="66" t="s">
        <v>148</v>
      </c>
      <c r="B47" s="65">
        <v>0</v>
      </c>
      <c r="C47" s="65">
        <v>0</v>
      </c>
      <c r="D47" s="65">
        <v>0</v>
      </c>
    </row>
    <row r="48" spans="1:4" s="34" customFormat="1" ht="10.199999999999999" x14ac:dyDescent="0.2">
      <c r="A48" s="66" t="s">
        <v>149</v>
      </c>
      <c r="B48" s="65">
        <v>0</v>
      </c>
      <c r="C48" s="65">
        <v>0</v>
      </c>
      <c r="D48" s="65">
        <v>0</v>
      </c>
    </row>
    <row r="49" spans="1:4" s="34" customFormat="1" ht="10.199999999999999" x14ac:dyDescent="0.2">
      <c r="A49" s="66" t="s">
        <v>150</v>
      </c>
      <c r="B49" s="65">
        <v>8467.1848859000002</v>
      </c>
      <c r="C49" s="65">
        <v>9484.3847644499892</v>
      </c>
      <c r="D49" s="65">
        <v>10105.915315004901</v>
      </c>
    </row>
    <row r="50" spans="1:4" s="34" customFormat="1" ht="10.199999999999999" x14ac:dyDescent="0.2">
      <c r="A50" s="66" t="s">
        <v>151</v>
      </c>
      <c r="B50" s="65">
        <v>1365.8834999640001</v>
      </c>
      <c r="C50" s="65">
        <v>1188.9224800439999</v>
      </c>
      <c r="D50" s="65">
        <v>1087.1771600039899</v>
      </c>
    </row>
    <row r="51" spans="1:4" s="34" customFormat="1" ht="10.199999999999999" x14ac:dyDescent="0.2">
      <c r="A51" s="66" t="s">
        <v>532</v>
      </c>
      <c r="B51" s="65">
        <v>1653.7758733000001</v>
      </c>
      <c r="C51" s="65">
        <v>1180.6895319600001</v>
      </c>
      <c r="D51" s="65">
        <v>1342.9047031519999</v>
      </c>
    </row>
    <row r="52" spans="1:4" s="34" customFormat="1" ht="10.199999999999999" x14ac:dyDescent="0.2">
      <c r="A52" s="66" t="s">
        <v>152</v>
      </c>
      <c r="B52" s="65">
        <v>3877.12739103064</v>
      </c>
      <c r="C52" s="65">
        <v>22060.337698195901</v>
      </c>
      <c r="D52" s="65">
        <v>36102.358254812199</v>
      </c>
    </row>
    <row r="53" spans="1:4" s="34" customFormat="1" ht="9" thickBot="1" x14ac:dyDescent="0.2">
      <c r="A53" s="35"/>
      <c r="B53" s="57">
        <f t="shared" ref="B53:D53" si="0">SUM(B6:B52)</f>
        <v>366822.79742433009</v>
      </c>
      <c r="C53" s="57">
        <f t="shared" si="0"/>
        <v>393600.55047126621</v>
      </c>
      <c r="D53" s="57">
        <f t="shared" si="0"/>
        <v>389519.70577110886</v>
      </c>
    </row>
    <row r="54" spans="1:4" s="34" customFormat="1" ht="9" thickTop="1" x14ac:dyDescent="0.15">
      <c r="A54" s="35"/>
    </row>
    <row r="55" spans="1:4" s="34" customFormat="1" x14ac:dyDescent="0.15">
      <c r="A55" s="35"/>
    </row>
    <row r="56" spans="1:4" x14ac:dyDescent="0.15">
      <c r="A56" s="2" t="s">
        <v>107</v>
      </c>
      <c r="B56" s="1">
        <f t="shared" ref="B56:D56" si="1">SUM(B20:B36,B51:B52)</f>
        <v>285059.49256554741</v>
      </c>
      <c r="C56" s="34">
        <f t="shared" si="1"/>
        <v>306124.67182311608</v>
      </c>
      <c r="D56" s="34">
        <f t="shared" si="1"/>
        <v>295620.83927325445</v>
      </c>
    </row>
    <row r="57" spans="1:4" x14ac:dyDescent="0.15">
      <c r="A57" s="2" t="s">
        <v>109</v>
      </c>
      <c r="B57" s="1">
        <f t="shared" ref="B57:D57" si="2">SUM(B37:B50)</f>
        <v>58252.863797036101</v>
      </c>
      <c r="C57" s="34">
        <f t="shared" si="2"/>
        <v>63734.488326580875</v>
      </c>
      <c r="D57" s="34">
        <f t="shared" si="2"/>
        <v>68908.883083489782</v>
      </c>
    </row>
    <row r="58" spans="1:4" x14ac:dyDescent="0.15">
      <c r="A58" s="2" t="s">
        <v>153</v>
      </c>
      <c r="B58" s="6">
        <f t="shared" ref="B58:D58" si="3">SUM(B6:B19)</f>
        <v>23510.441061746587</v>
      </c>
      <c r="C58" s="6">
        <f t="shared" si="3"/>
        <v>23741.39032156919</v>
      </c>
      <c r="D58" s="6">
        <f t="shared" si="3"/>
        <v>24989.983414364604</v>
      </c>
    </row>
    <row r="59" spans="1:4" x14ac:dyDescent="0.15">
      <c r="B59" s="1">
        <f t="shared" ref="B59:D59" si="4">SUM(B56:B58)</f>
        <v>366822.79742433009</v>
      </c>
      <c r="C59" s="1">
        <f t="shared" si="4"/>
        <v>393600.55047126615</v>
      </c>
      <c r="D59" s="1">
        <f t="shared" si="4"/>
        <v>389519.70577110886</v>
      </c>
    </row>
    <row r="60" spans="1:4" x14ac:dyDescent="0.15">
      <c r="B60" s="1">
        <f>B59+'LG&amp;E Provision'!C90</f>
        <v>-1.3969838619232178E-9</v>
      </c>
      <c r="C60" s="34">
        <f>C59+'LG&amp;E Provision'!D90</f>
        <v>-6.4028427004814148E-10</v>
      </c>
      <c r="D60" s="34">
        <f>D59+'LG&amp;E Provision'!E90</f>
        <v>0</v>
      </c>
    </row>
    <row r="61" spans="1:4" x14ac:dyDescent="0.15">
      <c r="A61" s="2" t="s">
        <v>154</v>
      </c>
    </row>
    <row r="63" spans="1:4" x14ac:dyDescent="0.15">
      <c r="A63" s="2" t="s">
        <v>155</v>
      </c>
      <c r="B63" s="1">
        <f t="shared" ref="B63:D63" si="5">(-B56-B58*0.7)*1000</f>
        <v>-301516801.30877</v>
      </c>
      <c r="C63" s="1">
        <f t="shared" si="5"/>
        <v>-322743645.04821455</v>
      </c>
      <c r="D63" s="1">
        <f t="shared" si="5"/>
        <v>-313113827.66330963</v>
      </c>
    </row>
    <row r="64" spans="1:4" x14ac:dyDescent="0.15">
      <c r="A64" s="2" t="s">
        <v>156</v>
      </c>
      <c r="B64" s="6">
        <f t="shared" ref="B64:D64" si="6">(-B57-B58*0.3)*1000</f>
        <v>-65305996.115560077</v>
      </c>
      <c r="C64" s="6">
        <f t="shared" si="6"/>
        <v>-70856905.42305164</v>
      </c>
      <c r="D64" s="6">
        <f t="shared" si="6"/>
        <v>-76405878.107799158</v>
      </c>
    </row>
    <row r="65" spans="1:4" ht="9" thickBot="1" x14ac:dyDescent="0.2">
      <c r="B65" s="7">
        <f t="shared" ref="B65:D65" si="7">SUM(B63:B64)</f>
        <v>-366822797.42433006</v>
      </c>
      <c r="C65" s="7">
        <f t="shared" si="7"/>
        <v>-393600550.47126621</v>
      </c>
      <c r="D65" s="7">
        <f t="shared" si="7"/>
        <v>-389519705.77110881</v>
      </c>
    </row>
    <row r="66" spans="1:4" x14ac:dyDescent="0.15">
      <c r="B66" s="44">
        <f t="shared" ref="B66:D66" si="8">+B65+B46*1000</f>
        <v>-363769607.51083004</v>
      </c>
      <c r="C66" s="44">
        <f t="shared" si="8"/>
        <v>-390604537.23071623</v>
      </c>
      <c r="D66" s="44">
        <f t="shared" si="8"/>
        <v>-384694227.43857384</v>
      </c>
    </row>
    <row r="68" spans="1:4" x14ac:dyDescent="0.15">
      <c r="A68" s="2" t="s">
        <v>157</v>
      </c>
      <c r="B68" s="8">
        <f t="shared" ref="B68:D68" si="9">+B63/B65</f>
        <v>0.82196854564626209</v>
      </c>
      <c r="C68" s="8">
        <f t="shared" si="9"/>
        <v>0.81997762620450299</v>
      </c>
      <c r="D68" s="8">
        <f t="shared" si="9"/>
        <v>0.80384592364449692</v>
      </c>
    </row>
    <row r="69" spans="1:4" x14ac:dyDescent="0.15">
      <c r="A69" s="2" t="s">
        <v>158</v>
      </c>
      <c r="B69" s="8">
        <f t="shared" ref="B69:D69" si="10">+B64/B65</f>
        <v>0.17803145435373793</v>
      </c>
      <c r="C69" s="8">
        <f t="shared" si="10"/>
        <v>0.18002237379549693</v>
      </c>
      <c r="D69" s="8">
        <f t="shared" si="10"/>
        <v>0.19615407635550305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062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36F51F3F-6B80-4B22-9D22-D53054800586}"/>
</file>

<file path=customXml/itemProps2.xml><?xml version="1.0" encoding="utf-8"?>
<ds:datastoreItem xmlns:ds="http://schemas.openxmlformats.org/officeDocument/2006/customXml" ds:itemID="{D4BA3B2D-AA57-4BA6-8CD0-B5D4082DDFE3}"/>
</file>

<file path=customXml/itemProps3.xml><?xml version="1.0" encoding="utf-8"?>
<ds:datastoreItem xmlns:ds="http://schemas.openxmlformats.org/officeDocument/2006/customXml" ds:itemID="{E198792A-C87D-47B7-A399-034FC8061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Balance Sheet</vt:lpstr>
      <vt:lpstr>LG&amp;E Provision</vt:lpstr>
      <vt:lpstr>UIGET-LGE</vt:lpstr>
      <vt:lpstr>Reg Asset and Liab</vt:lpstr>
      <vt:lpstr>Reg Asset and Liab 2018-2020</vt:lpstr>
      <vt:lpstr>E&amp;G Splits</vt:lpstr>
      <vt:lpstr>Income Tax Detail - Monthly</vt:lpstr>
      <vt:lpstr>Tax Depr E&amp;G Federal</vt:lpstr>
      <vt:lpstr>Tax Depr E&amp;G State</vt:lpstr>
      <vt:lpstr>Book Depr E&amp;G</vt:lpstr>
      <vt:lpstr>'Balance Sheet'!Print_Area</vt:lpstr>
      <vt:lpstr>'Balance Sheet'!Print_Titles</vt:lpstr>
      <vt:lpstr>'Book Depr E&amp;G'!Print_Titles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2018-11-21T19:11:27Z</dcterms:created>
  <dcterms:modified xsi:type="dcterms:W3CDTF">2018-11-21T19:44:32Z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