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I:\CN2018\CNs-00294-00295 - 2018 Rate Cases\06 - Data Requests\DR2 - PSC2 - All1\LG&amp;E\1 - PSC\Attachment Modifications for Post to SP\"/>
    </mc:Choice>
  </mc:AlternateContent>
  <bookViews>
    <workbookView xWindow="120" yWindow="150" windowWidth="9420" windowHeight="4410" tabRatio="881"/>
  </bookViews>
  <sheets>
    <sheet name="LGE Rate Summary" sheetId="18" r:id="rId1"/>
    <sheet name="KU Rate Summary" sheetId="15" r:id="rId2"/>
    <sheet name="CCS_Inputs" sheetId="19" r:id="rId3"/>
    <sheet name="ECR FAC TCJA" sheetId="14" r:id="rId4"/>
    <sheet name="WACC - Carrying Charges" sheetId="13" r:id="rId5"/>
    <sheet name="2017 EV Usage Data" sheetId="17" r:id="rId6"/>
    <sheet name="Costs_Reference" sheetId="11" r:id="rId7"/>
  </sheets>
  <definedNames>
    <definedName name="Rate_10" localSheetId="0">#REF!</definedName>
    <definedName name="Rate_10">#REF!</definedName>
    <definedName name="Rate_12" localSheetId="0">#REF!</definedName>
    <definedName name="Rate_12">#REF!</definedName>
    <definedName name="Rate_8" localSheetId="0">#REF!</definedName>
    <definedName name="Rate_8">#REF!</definedName>
    <definedName name="WkSht_10" localSheetId="0">#REF!</definedName>
    <definedName name="WkSht_10">#REF!</definedName>
    <definedName name="WkSht_12" localSheetId="0">#REF!</definedName>
    <definedName name="WkSht_12">#REF!</definedName>
    <definedName name="WkSht_8" localSheetId="0">#REF!</definedName>
    <definedName name="WkSht_8">#REF!</definedName>
  </definedNames>
  <calcPr calcId="152511"/>
</workbook>
</file>

<file path=xl/calcChain.xml><?xml version="1.0" encoding="utf-8"?>
<calcChain xmlns="http://schemas.openxmlformats.org/spreadsheetml/2006/main">
  <c r="I28" i="19" l="1"/>
  <c r="I27" i="19"/>
  <c r="I24" i="19"/>
  <c r="I23" i="19"/>
  <c r="I22" i="19"/>
  <c r="I21" i="19" s="1"/>
  <c r="I17" i="19"/>
  <c r="I10" i="19"/>
  <c r="I8" i="19"/>
  <c r="I15" i="19" s="1"/>
  <c r="I7" i="19"/>
  <c r="I6" i="19"/>
  <c r="I4" i="19" s="1"/>
  <c r="I11" i="19" s="1"/>
  <c r="I5" i="19"/>
  <c r="I12" i="19" s="1"/>
  <c r="D28" i="19"/>
  <c r="D27" i="19"/>
  <c r="D24" i="19"/>
  <c r="D23" i="19" s="1"/>
  <c r="D22" i="19"/>
  <c r="D21" i="19" s="1"/>
  <c r="D17" i="19"/>
  <c r="D10" i="19"/>
  <c r="D8" i="19"/>
  <c r="D7" i="19"/>
  <c r="D6" i="19"/>
  <c r="D4" i="19"/>
  <c r="D11" i="19" s="1"/>
  <c r="D5" i="19"/>
  <c r="D12" i="19" s="1"/>
  <c r="I14" i="19"/>
  <c r="D14" i="19"/>
  <c r="D13" i="19"/>
  <c r="D15" i="19"/>
  <c r="I13" i="19" l="1"/>
  <c r="A19" i="13"/>
  <c r="C23" i="18" l="1"/>
  <c r="D23" i="18" s="1"/>
  <c r="C23" i="15"/>
  <c r="D23" i="15" s="1"/>
  <c r="C26" i="17" l="1"/>
  <c r="C22" i="17"/>
  <c r="C20" i="17"/>
  <c r="C16" i="17"/>
  <c r="C15" i="17"/>
  <c r="J12" i="17" l="1"/>
  <c r="I12" i="17"/>
  <c r="M5" i="17"/>
  <c r="L5" i="17"/>
  <c r="K5" i="17"/>
  <c r="M4" i="17"/>
  <c r="L4" i="17"/>
  <c r="K4" i="17"/>
  <c r="M12" i="17" l="1"/>
  <c r="K12" i="17"/>
  <c r="L12" i="17" s="1"/>
  <c r="B15" i="17" l="1"/>
  <c r="B17" i="18" l="1"/>
  <c r="F12" i="18"/>
  <c r="E12" i="18"/>
  <c r="G12" i="18" s="1"/>
  <c r="D12" i="18"/>
  <c r="C12" i="18"/>
  <c r="F11" i="18"/>
  <c r="D11" i="18"/>
  <c r="C11" i="18"/>
  <c r="E11" i="18" s="1"/>
  <c r="G11" i="18" s="1"/>
  <c r="F7" i="18"/>
  <c r="E7" i="18"/>
  <c r="D7" i="18"/>
  <c r="C7" i="18"/>
  <c r="C17" i="18" l="1"/>
  <c r="E17" i="18"/>
  <c r="F17" i="18" s="1"/>
  <c r="G7" i="18"/>
  <c r="G12" i="15"/>
  <c r="B17" i="15" l="1"/>
  <c r="D7" i="15"/>
  <c r="C7" i="15"/>
  <c r="C17" i="15" l="1"/>
  <c r="E17" i="15"/>
  <c r="F17" i="15" s="1"/>
  <c r="F7" i="15"/>
  <c r="E7" i="15"/>
  <c r="C12" i="15"/>
  <c r="E12" i="15" s="1"/>
  <c r="D12" i="15"/>
  <c r="F12" i="15" s="1"/>
  <c r="D11" i="15"/>
  <c r="F11" i="15" s="1"/>
  <c r="C11" i="15"/>
  <c r="E11" i="15" s="1"/>
  <c r="B21" i="14"/>
  <c r="G21" i="14"/>
  <c r="B20" i="17"/>
  <c r="B22" i="17" s="1"/>
  <c r="B26" i="17" s="1"/>
  <c r="F5" i="17"/>
  <c r="F6" i="17"/>
  <c r="F7" i="17"/>
  <c r="F8" i="17"/>
  <c r="F9" i="17"/>
  <c r="F10" i="17"/>
  <c r="F11" i="17"/>
  <c r="F12" i="17"/>
  <c r="F4" i="17"/>
  <c r="B16" i="17"/>
  <c r="E12" i="17"/>
  <c r="E5" i="17"/>
  <c r="E6" i="17"/>
  <c r="E7" i="17"/>
  <c r="E8" i="17"/>
  <c r="E9" i="17"/>
  <c r="E10" i="17"/>
  <c r="E11" i="17"/>
  <c r="E4" i="17"/>
  <c r="D12" i="17"/>
  <c r="D5" i="17"/>
  <c r="D6" i="17"/>
  <c r="D7" i="17"/>
  <c r="D8" i="17"/>
  <c r="D9" i="17"/>
  <c r="D10" i="17"/>
  <c r="D11" i="17"/>
  <c r="D4" i="17"/>
  <c r="C12" i="17"/>
  <c r="B12" i="17"/>
  <c r="G19" i="15" l="1"/>
  <c r="E19" i="18"/>
  <c r="G19" i="18"/>
  <c r="F19" i="18"/>
  <c r="F19" i="15"/>
  <c r="E19" i="15"/>
  <c r="G11" i="15"/>
  <c r="G7" i="15"/>
  <c r="C18" i="18" l="1"/>
  <c r="D17" i="18"/>
  <c r="D17" i="15"/>
  <c r="G17" i="15"/>
  <c r="G18" i="15" s="1"/>
  <c r="E18" i="15"/>
  <c r="C18" i="15"/>
  <c r="I15" i="14"/>
  <c r="D15" i="14"/>
  <c r="H15" i="14"/>
  <c r="C15" i="14"/>
  <c r="C26" i="14" s="1"/>
  <c r="G15" i="14"/>
  <c r="F4" i="14"/>
  <c r="F5" i="14" s="1"/>
  <c r="F6" i="14" s="1"/>
  <c r="F7" i="14" s="1"/>
  <c r="F8" i="14" s="1"/>
  <c r="F9" i="14" s="1"/>
  <c r="F10" i="14" s="1"/>
  <c r="F11" i="14" s="1"/>
  <c r="F12" i="14" s="1"/>
  <c r="F13" i="14" s="1"/>
  <c r="F14" i="14" s="1"/>
  <c r="B15" i="14"/>
  <c r="A4" i="14"/>
  <c r="A5" i="14" s="1"/>
  <c r="A6" i="14" s="1"/>
  <c r="A7" i="14" s="1"/>
  <c r="A8" i="14" s="1"/>
  <c r="A9" i="14" s="1"/>
  <c r="A10" i="14" s="1"/>
  <c r="A11" i="14" s="1"/>
  <c r="A12" i="14" s="1"/>
  <c r="A13" i="14" s="1"/>
  <c r="A14" i="14" s="1"/>
  <c r="I26" i="13"/>
  <c r="A26" i="13"/>
  <c r="E22" i="15" l="1"/>
  <c r="F22" i="15" s="1"/>
  <c r="G22" i="15" s="1"/>
  <c r="F18" i="18"/>
  <c r="D18" i="18"/>
  <c r="G17" i="18"/>
  <c r="G18" i="18" s="1"/>
  <c r="E18" i="18"/>
  <c r="F18" i="15"/>
  <c r="D18" i="15"/>
  <c r="E23" i="18"/>
  <c r="F23" i="18" s="1"/>
  <c r="G23" i="18" s="1"/>
  <c r="H26" i="14"/>
  <c r="G26" i="14"/>
  <c r="B26" i="14"/>
  <c r="E23" i="15"/>
  <c r="F23" i="15" s="1"/>
  <c r="G23" i="15" s="1"/>
  <c r="J10" i="13"/>
  <c r="J11" i="13" s="1"/>
  <c r="M9" i="13"/>
  <c r="M8" i="13"/>
  <c r="M7" i="13"/>
  <c r="A22" i="13" s="1"/>
  <c r="E21" i="18" l="1"/>
  <c r="F21" i="18" s="1"/>
  <c r="E22" i="18"/>
  <c r="F22" i="18" s="1"/>
  <c r="G22" i="18" s="1"/>
  <c r="E21" i="15"/>
  <c r="F21" i="15" s="1"/>
  <c r="M11" i="13"/>
  <c r="B10" i="13"/>
  <c r="B11" i="13" s="1"/>
  <c r="E9" i="13"/>
  <c r="E8" i="13"/>
  <c r="I25" i="13" l="1"/>
  <c r="I27" i="13"/>
  <c r="G21" i="18"/>
  <c r="G21" i="15"/>
  <c r="E7" i="13"/>
  <c r="E11" i="13" l="1"/>
  <c r="A25" i="13" s="1"/>
  <c r="A21" i="13"/>
  <c r="A27" i="13" s="1"/>
  <c r="I29" i="13"/>
  <c r="B9" i="18" s="1"/>
  <c r="A29" i="13" l="1"/>
  <c r="B9" i="15" s="1"/>
  <c r="G9" i="15" s="1"/>
  <c r="G13" i="15" s="1"/>
  <c r="C9" i="18"/>
  <c r="C13" i="18" s="1"/>
  <c r="C15" i="18" s="1"/>
  <c r="D9" i="18"/>
  <c r="D13" i="18" s="1"/>
  <c r="D15" i="18" s="1"/>
  <c r="E9" i="18"/>
  <c r="E13" i="18" s="1"/>
  <c r="G9" i="18"/>
  <c r="G13" i="18" s="1"/>
  <c r="F9" i="18"/>
  <c r="F13" i="18" s="1"/>
  <c r="C34" i="11"/>
  <c r="B34" i="11"/>
  <c r="B27" i="11"/>
  <c r="C27" i="11"/>
  <c r="C25" i="11"/>
  <c r="B25" i="11"/>
  <c r="B23" i="11"/>
  <c r="C23" i="11"/>
  <c r="C21" i="11"/>
  <c r="C22" i="11"/>
  <c r="B22" i="11"/>
  <c r="B21" i="11"/>
  <c r="C32" i="11"/>
  <c r="B32" i="11"/>
  <c r="E9" i="15" l="1"/>
  <c r="E13" i="15" s="1"/>
  <c r="E15" i="15" s="1"/>
  <c r="C9" i="15"/>
  <c r="C13" i="15" s="1"/>
  <c r="C15" i="15" s="1"/>
  <c r="C29" i="15" s="1"/>
  <c r="F15" i="18"/>
  <c r="F16" i="18"/>
  <c r="F28" i="18" s="1"/>
  <c r="C27" i="18"/>
  <c r="C29" i="18"/>
  <c r="G15" i="18"/>
  <c r="G16" i="18"/>
  <c r="G28" i="18" s="1"/>
  <c r="D9" i="15"/>
  <c r="D13" i="15" s="1"/>
  <c r="D15" i="15" s="1"/>
  <c r="D29" i="15" s="1"/>
  <c r="E15" i="18"/>
  <c r="E16" i="18"/>
  <c r="E28" i="18" s="1"/>
  <c r="F9" i="15"/>
  <c r="F13" i="15" s="1"/>
  <c r="F15" i="15" s="1"/>
  <c r="D29" i="18"/>
  <c r="D27" i="18"/>
  <c r="E16" i="15"/>
  <c r="E28" i="15" s="1"/>
  <c r="G15" i="15"/>
  <c r="G16" i="15"/>
  <c r="G28" i="15" s="1"/>
  <c r="I15" i="11"/>
  <c r="I16" i="11" s="1"/>
  <c r="G15" i="11"/>
  <c r="G16" i="11" s="1"/>
  <c r="F13" i="11"/>
  <c r="E11" i="11"/>
  <c r="B11" i="11"/>
  <c r="C9" i="11"/>
  <c r="B9" i="11"/>
  <c r="F8" i="11"/>
  <c r="F7" i="11"/>
  <c r="E7" i="11"/>
  <c r="D7" i="11"/>
  <c r="C7" i="11"/>
  <c r="B7" i="11"/>
  <c r="H6" i="11"/>
  <c r="H15" i="11" s="1"/>
  <c r="H16" i="11" s="1"/>
  <c r="F6" i="11"/>
  <c r="E6" i="11"/>
  <c r="D6" i="11"/>
  <c r="C6" i="11"/>
  <c r="B6" i="11"/>
  <c r="I29" i="19" l="1"/>
  <c r="I25" i="19" s="1"/>
  <c r="I30" i="19"/>
  <c r="I26" i="19" s="1"/>
  <c r="C27" i="15"/>
  <c r="D27" i="15"/>
  <c r="F16" i="15"/>
  <c r="F28" i="15" s="1"/>
  <c r="B15" i="11"/>
  <c r="E15" i="11"/>
  <c r="E16" i="11" s="1"/>
  <c r="D15" i="11"/>
  <c r="D16" i="11" s="1"/>
  <c r="C15" i="11"/>
  <c r="C16" i="11" s="1"/>
  <c r="C20" i="11"/>
  <c r="C28" i="11" s="1"/>
  <c r="B16" i="11"/>
  <c r="F15" i="11"/>
  <c r="F16" i="11" s="1"/>
  <c r="B20" i="11"/>
  <c r="D29" i="19" l="1"/>
  <c r="D25" i="19" s="1"/>
  <c r="D30" i="19"/>
  <c r="D26" i="19" s="1"/>
  <c r="I33" i="19"/>
  <c r="I32" i="19"/>
  <c r="B28" i="11"/>
  <c r="D33" i="19" l="1"/>
  <c r="D32" i="19"/>
</calcChain>
</file>

<file path=xl/sharedStrings.xml><?xml version="1.0" encoding="utf-8"?>
<sst xmlns="http://schemas.openxmlformats.org/spreadsheetml/2006/main" count="399" uniqueCount="198">
  <si>
    <t>Weighted Average Cost of Capital (WACC)</t>
  </si>
  <si>
    <t>Capitalization</t>
  </si>
  <si>
    <t>Total WACC</t>
  </si>
  <si>
    <t>Overall Rate of Return</t>
  </si>
  <si>
    <t>year useful life</t>
  </si>
  <si>
    <t>Income Taxes</t>
  </si>
  <si>
    <t>R.O.E.</t>
  </si>
  <si>
    <t>Annual</t>
  </si>
  <si>
    <t>Overall Cost of Capital</t>
  </si>
  <si>
    <t>Weighted</t>
  </si>
  <si>
    <t>Cost</t>
  </si>
  <si>
    <t>Short Term</t>
  </si>
  <si>
    <t>Long Term</t>
  </si>
  <si>
    <t>Total Debt</t>
  </si>
  <si>
    <t>Single Charger</t>
  </si>
  <si>
    <t>Estimated Investment per Unit</t>
  </si>
  <si>
    <t>Dual Charger</t>
  </si>
  <si>
    <t>Basic Service Charge</t>
  </si>
  <si>
    <t>Fuel Adjustment Clause</t>
  </si>
  <si>
    <t>School Tax</t>
  </si>
  <si>
    <t>Franchise Fee</t>
  </si>
  <si>
    <t>Environmental Surcharge (Level 2)</t>
  </si>
  <si>
    <t>KU</t>
  </si>
  <si>
    <t>EVC</t>
  </si>
  <si>
    <t>State Sales Tax</t>
  </si>
  <si>
    <t>EVC Fee per Hour for Equipment, Energy &amp; Factors</t>
  </si>
  <si>
    <t xml:space="preserve">Fixed Charges @ </t>
  </si>
  <si>
    <t>Average</t>
  </si>
  <si>
    <t>Distribution Energy per kWh per year   (Calculated with GS Rate)</t>
  </si>
  <si>
    <t>Distribution Energy per kWh per month</t>
  </si>
  <si>
    <t>Distribution Energy per kWh per hour</t>
  </si>
  <si>
    <t>EVSE Monthly Rate for Equipment, Energy &amp; Factors</t>
  </si>
  <si>
    <t>Site</t>
  </si>
  <si>
    <t>KU General Office</t>
  </si>
  <si>
    <t>Butchertown - E Washington St.</t>
  </si>
  <si>
    <t>Highlands - Hepburn Ave</t>
  </si>
  <si>
    <t>High St &amp; MLK</t>
  </si>
  <si>
    <t>Main &amp; Floyd</t>
  </si>
  <si>
    <t>9th St Overpass</t>
  </si>
  <si>
    <t>Crescent Hill</t>
  </si>
  <si>
    <t>Midway City Hall</t>
  </si>
  <si>
    <t>Status</t>
  </si>
  <si>
    <t>Complete</t>
  </si>
  <si>
    <t>Install Date</t>
  </si>
  <si>
    <t>Station Type</t>
  </si>
  <si>
    <t>Single Port</t>
  </si>
  <si>
    <t>Dual Port</t>
  </si>
  <si>
    <t>Location Type</t>
  </si>
  <si>
    <t>Parking Lot</t>
  </si>
  <si>
    <t>Right-Side Park Curbside</t>
  </si>
  <si>
    <t>Chargepoint Equipment Cost</t>
  </si>
  <si>
    <t>Chargepoint Annual Cost (1 yr.)</t>
  </si>
  <si>
    <t>LG&amp;E/KU DO Cost</t>
  </si>
  <si>
    <t>Parking Authority Cost</t>
  </si>
  <si>
    <t>Cubero Station Branding</t>
  </si>
  <si>
    <t>Permits (By LG&amp;E/KU)</t>
  </si>
  <si>
    <t>"EV Parking Only" Signage</t>
  </si>
  <si>
    <t>Other</t>
  </si>
  <si>
    <t>Total</t>
  </si>
  <si>
    <t>Capital Expenditure</t>
  </si>
  <si>
    <t>TOTAL</t>
  </si>
  <si>
    <t>O&amp;M (Scheduled/Trouble)</t>
  </si>
  <si>
    <t>Double Port</t>
  </si>
  <si>
    <t>per year</t>
  </si>
  <si>
    <t>Chargepoint Annual Cost</t>
  </si>
  <si>
    <t>Assumes 1 utility service call per year, 2 person crew for 2 hours @ $31.50/hour</t>
  </si>
  <si>
    <t>O&amp;M COSTS (per year)</t>
  </si>
  <si>
    <t>CAPITAL COSTS (per installation)</t>
  </si>
  <si>
    <t>No overhead costs - only planning to install as needed</t>
  </si>
  <si>
    <t>Includes sales tax and freight costs (EVSE, EVSE-R, EVC)</t>
  </si>
  <si>
    <t>EVC Only</t>
  </si>
  <si>
    <t>EVSE-R - Customer installs and owns facilites on its side of the meter to serve Company-provided charging station. Single Charger: $131.41</t>
  </si>
  <si>
    <t>EVSE - Company will furnish, own, install, and maintain the charging unit and cable.  Customer will furnish, own, and instlal all duct systems and associated equipment.  Customer shall be responsible for the charging equipment installation costs. Single Charger: $182.31</t>
  </si>
  <si>
    <t>Common Equity</t>
  </si>
  <si>
    <t>Ratio</t>
  </si>
  <si>
    <t>LG&amp;E</t>
  </si>
  <si>
    <t>Carrying Charges</t>
  </si>
  <si>
    <t>Federal Corporate Tax Rate</t>
  </si>
  <si>
    <t>TOTAL Corporate Tax Rate</t>
  </si>
  <si>
    <t>Straight-Line Depreciation</t>
  </si>
  <si>
    <t>Property Taxes</t>
  </si>
  <si>
    <t>KU Carrying Charge Income Tax Calculation = (KU Weighted Cost of Equity / (1- Corporate Tax Rate)) x Corporate Tax Rate</t>
  </si>
  <si>
    <t>LGE Carrying Charge Income Tax Calculation = (LGE Weighted Cost of Equity / (1- Corporate Tax Rate)) x Corporate Tax Rate</t>
  </si>
  <si>
    <t>KU TOTAL LEVELIZED FIXED CHARGE</t>
  </si>
  <si>
    <t>LGE TOTAL LEVELIZED FIXED CHARGE</t>
  </si>
  <si>
    <t>FAC</t>
  </si>
  <si>
    <t>Base Period Fuel Factor</t>
  </si>
  <si>
    <t>kWh use per hour</t>
  </si>
  <si>
    <t>ECR</t>
  </si>
  <si>
    <t>TCJA</t>
  </si>
  <si>
    <t>per hour</t>
  </si>
  <si>
    <t>GS Energy Rate</t>
  </si>
  <si>
    <t>Kentucky Utilities Company</t>
  </si>
  <si>
    <t>Derivation of Rates</t>
  </si>
  <si>
    <t>EVC Utilization</t>
  </si>
  <si>
    <t>Station</t>
  </si>
  <si>
    <t>Days in Service</t>
  </si>
  <si>
    <t>Total Hours of Usage</t>
  </si>
  <si>
    <t>100% Utilization Hours*</t>
  </si>
  <si>
    <t>Actual Utilization</t>
  </si>
  <si>
    <t>KU - KUGO</t>
  </si>
  <si>
    <t>KU - High St</t>
  </si>
  <si>
    <t>KU - Midway</t>
  </si>
  <si>
    <t>LG&amp;E - Butchertown</t>
  </si>
  <si>
    <t>LG&amp;E - Highlands</t>
  </si>
  <si>
    <t>LG&amp;E - 315 E Main St</t>
  </si>
  <si>
    <t>LG&amp;E - 921 W Main St</t>
  </si>
  <si>
    <t>LG&amp;E - Crescent Hill</t>
  </si>
  <si>
    <t>Hours of use per day</t>
  </si>
  <si>
    <t>Utilization</t>
  </si>
  <si>
    <t>Actual Utilization (to orig. 4 hrs per day)</t>
  </si>
  <si>
    <t>2017 LG&amp;E and KU Combined EVC Data Summary</t>
  </si>
  <si>
    <t>kWh/hr</t>
  </si>
  <si>
    <t>Charging Station Consumption (kWh / Day)</t>
  </si>
  <si>
    <t>Charging Station Consumption (kWh / Year)</t>
  </si>
  <si>
    <t>EVSE / EVSE-R</t>
  </si>
  <si>
    <t>Dependent on location</t>
  </si>
  <si>
    <t>EVC Rate per Hour for Equipment Only</t>
  </si>
  <si>
    <t>-</t>
  </si>
  <si>
    <t>Monthly Rate for Equipment Only</t>
  </si>
  <si>
    <t>kWh / year for screen and lighting</t>
  </si>
  <si>
    <t>Total Charging Station Consumption w/ Screen and Lighting (kWh / Year)</t>
  </si>
  <si>
    <t>No meter</t>
  </si>
  <si>
    <t>Tax Credit and Jobs Act Surcredit</t>
  </si>
  <si>
    <t>Ind. Charger</t>
  </si>
  <si>
    <t>Louisville Gas and Electric Company</t>
  </si>
  <si>
    <t>EVSE-R Monthly Rate for Equipment Only</t>
  </si>
  <si>
    <t>EVSE-R Only</t>
  </si>
  <si>
    <t>Station 1</t>
  </si>
  <si>
    <t>Station 2</t>
  </si>
  <si>
    <t>EVSE-R Utilization</t>
  </si>
  <si>
    <t>State Corporate Tax Rate (Dropped by 1% on 1/1/2018)</t>
  </si>
  <si>
    <t>Federal Benefit of State Taxes (Credit)</t>
  </si>
  <si>
    <t>Capital Structure for 2018 Rate Case</t>
  </si>
  <si>
    <t>EVSE - Company will furnish, own, install, and maintain the charging unit and cable.  Customer will furnish, own, and install all duct systems and associated equipment.  Customer shall be responsible for the charging equipment installation costs.</t>
  </si>
  <si>
    <t>EVSE-R - Customer installs and owns facilities on its side of the meter to serve Company-provided charging station.</t>
  </si>
  <si>
    <t>KU EVC</t>
  </si>
  <si>
    <t>CCS Price Key</t>
  </si>
  <si>
    <t>Description</t>
  </si>
  <si>
    <t>Current Price</t>
  </si>
  <si>
    <t>New Price</t>
  </si>
  <si>
    <t>KU_xxxx</t>
  </si>
  <si>
    <t>EVC: Base Energy (Non-Fuel) (first 2 hr)</t>
  </si>
  <si>
    <t>EVC: ECR Charge Component of Hourly Charge (first 2 hr)</t>
  </si>
  <si>
    <t>EVC: Energy ECR Component (first 2 hr)</t>
  </si>
  <si>
    <t>EVC: Energy Fuel Component (first 2 hr)</t>
  </si>
  <si>
    <t>EVC: FAC Charge Component of Hourly Charge (first 2 hr)</t>
  </si>
  <si>
    <t>EVC: Total Charge per hour (first 2 hr)</t>
  </si>
  <si>
    <t>EVC: Unit Charge Component of Hourly Charge (first 2 hr)</t>
  </si>
  <si>
    <t>EVC: Base Energy (Non-Fuel) &gt;2hr</t>
  </si>
  <si>
    <t xml:space="preserve">EVC: ECR Charge Component of Hourly Charge &gt;2hr </t>
  </si>
  <si>
    <t>EVC: Energy ECR Component &gt;2hr</t>
  </si>
  <si>
    <t>EVC: Energy Fuel Component &gt;2hr</t>
  </si>
  <si>
    <t>EVC: FAC Charge Component of Hourly Charge&gt;2hr</t>
  </si>
  <si>
    <t>EVC: Total Charge per hour &gt;2 hr</t>
  </si>
  <si>
    <t>EVC: Unit Charge Component of Hourly Charge &gt;2hr</t>
  </si>
  <si>
    <t>KU EVSE</t>
  </si>
  <si>
    <t>KU_EVS2ENE</t>
  </si>
  <si>
    <t>EVSE: Base Energy ECR - Dual Charger</t>
  </si>
  <si>
    <t>KU_EVS1ENE</t>
  </si>
  <si>
    <t>EVSE: Base Energy ECR - Single Charger</t>
  </si>
  <si>
    <t>KU_EVS2ENF</t>
  </si>
  <si>
    <t>EVSE: Base Energy Fuel - Dual Charger</t>
  </si>
  <si>
    <t>KU_EVS1ENF</t>
  </si>
  <si>
    <t>EVSE: Base Energy Fuel - Single Charger</t>
  </si>
  <si>
    <t>KU_EVS2ENN</t>
  </si>
  <si>
    <t>EVSE: Base Energy Non-Fuel - Dual Charger</t>
  </si>
  <si>
    <t>KU_EVS1ENN</t>
  </si>
  <si>
    <t>EVSE: Base Energy Non-Fuel - Single Charger</t>
  </si>
  <si>
    <t>KU_EVSE2EQ</t>
  </si>
  <si>
    <t>EVSE: Charging Unit Equip Comp - Dual Charger</t>
  </si>
  <si>
    <t>KU_EVSE1EQ</t>
  </si>
  <si>
    <t>EVSE: Charging Unit Equip Comp - Single Charger</t>
  </si>
  <si>
    <t>KU_EVSEC2</t>
  </si>
  <si>
    <t>EVSE: Charging Unit Fee Total - Dual Charger</t>
  </si>
  <si>
    <t>KU_EVSEC1</t>
  </si>
  <si>
    <t>EVSE: Charging Unit Fee Total - Single Charger</t>
  </si>
  <si>
    <t>LE_xxxx</t>
  </si>
  <si>
    <t>LGE EVC</t>
  </si>
  <si>
    <t>LE_EVS2ENE</t>
  </si>
  <si>
    <t>LE_EVS2ENF</t>
  </si>
  <si>
    <t>LE_EVS2ENN</t>
  </si>
  <si>
    <t>LE_EVSE2EQ</t>
  </si>
  <si>
    <t>LE_EVSEC2</t>
  </si>
  <si>
    <t>LE_EVS1ENE</t>
  </si>
  <si>
    <t>LE_EVS1ENF</t>
  </si>
  <si>
    <t>EVSE: Charger Energy Fuel Comp - Single Charger</t>
  </si>
  <si>
    <t>LE_EVS1ENN</t>
  </si>
  <si>
    <t>LE_EVSE1EQ</t>
  </si>
  <si>
    <t>LE_EVSEC1</t>
  </si>
  <si>
    <t>LGE EVSE</t>
  </si>
  <si>
    <t>GS Energy ECR Component</t>
  </si>
  <si>
    <t>Check</t>
  </si>
  <si>
    <t>EVC Use Only</t>
  </si>
  <si>
    <t>Does not include Energy, FAC, OSS, or ECR</t>
  </si>
  <si>
    <t>Does not include FAC, OSS, or ECR</t>
  </si>
  <si>
    <t>EVSE Use Only</t>
  </si>
  <si>
    <t>Contractor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</si>
</sst>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General_)"/>
    <numFmt numFmtId="165" formatCode="_(&quot;$&quot;* #,##0.00000_);_(&quot;$&quot;* \(#,##0.00000\);_(&quot;$&quot;* &quot;-&quot;??_);_(@_)"/>
    <numFmt numFmtId="166" formatCode="0.000%"/>
    <numFmt numFmtId="167" formatCode="0.0%"/>
    <numFmt numFmtId="168" formatCode="[$-409]mmm\-yy;@"/>
    <numFmt numFmtId="169" formatCode="#,##0.00000_);\(#,##0.00000\)"/>
    <numFmt numFmtId="170" formatCode="_(* #,##0_);_(* \(#,##0\);_(* &quot;-&quot;??_);_(@_)"/>
  </numFmts>
  <fonts count="23" x14ac:knownFonts="1">
    <font>
      <sz val="12"/>
      <name val="Helv"/>
    </font>
    <font>
      <sz val="12"/>
      <name val="Times New Roman"/>
      <family val="1"/>
    </font>
    <font>
      <sz val="12"/>
      <name val="Helv"/>
    </font>
    <font>
      <sz val="11"/>
      <name val="Calibri"/>
      <family val="2"/>
      <scheme val="minor"/>
    </font>
    <font>
      <b/>
      <sz val="11"/>
      <color theme="1"/>
      <name val="Calibri"/>
      <family val="2"/>
      <scheme val="minor"/>
    </font>
    <font>
      <sz val="12"/>
      <name val="Calibri"/>
      <family val="2"/>
      <scheme val="minor"/>
    </font>
    <font>
      <b/>
      <sz val="12"/>
      <name val="Calibri"/>
      <family val="2"/>
      <scheme val="minor"/>
    </font>
    <font>
      <b/>
      <u/>
      <sz val="12"/>
      <name val="Calibri"/>
      <family val="2"/>
      <scheme val="minor"/>
    </font>
    <font>
      <sz val="12"/>
      <color rgb="FF0070C0"/>
      <name val="Calibri"/>
      <family val="2"/>
      <scheme val="minor"/>
    </font>
    <font>
      <b/>
      <sz val="11"/>
      <name val="Calibri"/>
      <family val="2"/>
      <scheme val="minor"/>
    </font>
    <font>
      <sz val="11"/>
      <color rgb="FF0070C0"/>
      <name val="Calibri"/>
      <family val="2"/>
      <scheme val="minor"/>
    </font>
    <font>
      <sz val="11"/>
      <color indexed="48"/>
      <name val="Calibri"/>
      <family val="2"/>
      <scheme val="minor"/>
    </font>
    <font>
      <b/>
      <u/>
      <sz val="16"/>
      <name val="Calibri"/>
      <family val="2"/>
      <scheme val="minor"/>
    </font>
    <font>
      <b/>
      <sz val="12"/>
      <color rgb="FFFF0000"/>
      <name val="Calibri"/>
      <family val="2"/>
      <scheme val="minor"/>
    </font>
    <font>
      <b/>
      <sz val="16"/>
      <color rgb="FFFF0000"/>
      <name val="Calibri"/>
      <family val="2"/>
      <scheme val="minor"/>
    </font>
    <font>
      <b/>
      <sz val="16"/>
      <color rgb="FF00B050"/>
      <name val="Calibri"/>
      <family val="2"/>
      <scheme val="minor"/>
    </font>
    <font>
      <b/>
      <sz val="12"/>
      <color rgb="FF00B050"/>
      <name val="Calibri"/>
      <family val="2"/>
      <scheme val="minor"/>
    </font>
    <font>
      <b/>
      <sz val="16"/>
      <name val="Calibri"/>
      <family val="2"/>
      <scheme val="minor"/>
    </font>
    <font>
      <sz val="12"/>
      <color rgb="FFFF0000"/>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b/>
      <sz val="11"/>
      <color rgb="FF00B050"/>
      <name val="Calibri"/>
      <family val="2"/>
      <scheme val="minor"/>
    </font>
  </fonts>
  <fills count="4">
    <fill>
      <patternFill patternType="none"/>
    </fill>
    <fill>
      <patternFill patternType="gray125"/>
    </fill>
    <fill>
      <patternFill patternType="solid">
        <fgColor rgb="FF48F2F2"/>
        <bgColor indexed="64"/>
      </patternFill>
    </fill>
    <fill>
      <patternFill patternType="solid">
        <fgColor rgb="FFFFFF0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164" fontId="0" fillId="0" borderId="0"/>
    <xf numFmtId="4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cellStyleXfs>
  <cellXfs count="146">
    <xf numFmtId="164" fontId="0" fillId="0" borderId="0" xfId="0"/>
    <xf numFmtId="164" fontId="5" fillId="0" borderId="0" xfId="0" applyFont="1"/>
    <xf numFmtId="164" fontId="4" fillId="0" borderId="0" xfId="0" applyFont="1" applyAlignment="1">
      <alignment wrapText="1"/>
    </xf>
    <xf numFmtId="44" fontId="4" fillId="0" borderId="0" xfId="1" applyFont="1" applyAlignment="1">
      <alignment horizontal="right" wrapText="1"/>
    </xf>
    <xf numFmtId="164" fontId="5" fillId="0" borderId="0" xfId="0" applyFont="1" applyAlignment="1">
      <alignment vertical="center" wrapText="1"/>
    </xf>
    <xf numFmtId="164" fontId="5" fillId="0" borderId="0" xfId="0" applyFont="1" applyAlignment="1">
      <alignment horizontal="right" vertical="center" wrapText="1"/>
    </xf>
    <xf numFmtId="14" fontId="5" fillId="0" borderId="0" xfId="0" applyNumberFormat="1" applyFont="1" applyAlignment="1">
      <alignment horizontal="right" vertical="center" wrapText="1"/>
    </xf>
    <xf numFmtId="14" fontId="5" fillId="0" borderId="0" xfId="0" applyNumberFormat="1" applyFont="1" applyBorder="1" applyAlignment="1">
      <alignment horizontal="right" vertical="center" wrapText="1"/>
    </xf>
    <xf numFmtId="164" fontId="5" fillId="0" borderId="0" xfId="0" applyFont="1" applyAlignment="1">
      <alignment wrapText="1"/>
    </xf>
    <xf numFmtId="164" fontId="5" fillId="0" borderId="0" xfId="0" applyFont="1" applyAlignment="1">
      <alignment horizontal="right" wrapText="1"/>
    </xf>
    <xf numFmtId="164" fontId="5" fillId="0" borderId="0" xfId="0" applyFont="1" applyBorder="1" applyAlignment="1">
      <alignment horizontal="right" wrapText="1"/>
    </xf>
    <xf numFmtId="164" fontId="5" fillId="0" borderId="0" xfId="0" applyFont="1" applyAlignment="1">
      <alignment horizontal="left" wrapText="1"/>
    </xf>
    <xf numFmtId="44" fontId="5" fillId="0" borderId="0" xfId="1" applyFont="1" applyFill="1" applyAlignment="1">
      <alignment horizontal="right" wrapText="1"/>
    </xf>
    <xf numFmtId="44" fontId="5" fillId="0" borderId="0" xfId="1" applyFont="1" applyFill="1" applyAlignment="1">
      <alignment wrapText="1"/>
    </xf>
    <xf numFmtId="44" fontId="5" fillId="0" borderId="0" xfId="1" applyFont="1" applyFill="1" applyBorder="1" applyAlignment="1">
      <alignment horizontal="right" wrapText="1"/>
    </xf>
    <xf numFmtId="164" fontId="5" fillId="0" borderId="0" xfId="0" applyFont="1" applyAlignment="1">
      <alignment horizontal="left"/>
    </xf>
    <xf numFmtId="164" fontId="5" fillId="0" borderId="0" xfId="0" applyFont="1" applyBorder="1" applyAlignment="1">
      <alignment wrapText="1"/>
    </xf>
    <xf numFmtId="164" fontId="5" fillId="0" borderId="3" xfId="0" applyFont="1" applyBorder="1" applyAlignment="1">
      <alignment wrapText="1"/>
    </xf>
    <xf numFmtId="44" fontId="5" fillId="0" borderId="0" xfId="1" applyFont="1" applyAlignment="1">
      <alignment horizontal="right" wrapText="1"/>
    </xf>
    <xf numFmtId="44" fontId="5" fillId="0" borderId="0" xfId="1" applyFont="1" applyBorder="1" applyAlignment="1">
      <alignment horizontal="right" wrapText="1"/>
    </xf>
    <xf numFmtId="164" fontId="6" fillId="0" borderId="0" xfId="0" applyFont="1" applyAlignment="1">
      <alignment horizontal="right" wrapText="1"/>
    </xf>
    <xf numFmtId="164" fontId="6" fillId="0" borderId="0" xfId="0" applyFont="1" applyBorder="1" applyAlignment="1">
      <alignment horizontal="right" wrapText="1"/>
    </xf>
    <xf numFmtId="164" fontId="6" fillId="0" borderId="0" xfId="0" applyFont="1" applyAlignment="1">
      <alignment vertical="center" wrapText="1"/>
    </xf>
    <xf numFmtId="164" fontId="7" fillId="0" borderId="0" xfId="0" applyFont="1" applyAlignment="1">
      <alignment horizontal="center"/>
    </xf>
    <xf numFmtId="44" fontId="5" fillId="0" borderId="0" xfId="1" applyFont="1"/>
    <xf numFmtId="44" fontId="8" fillId="0" borderId="3" xfId="1" applyFont="1" applyFill="1" applyBorder="1" applyAlignment="1">
      <alignment wrapText="1"/>
    </xf>
    <xf numFmtId="44" fontId="8" fillId="0" borderId="3" xfId="1" applyFont="1" applyFill="1" applyBorder="1" applyAlignment="1">
      <alignment horizontal="right" wrapText="1"/>
    </xf>
    <xf numFmtId="44" fontId="5" fillId="0" borderId="3" xfId="1" applyFont="1" applyBorder="1"/>
    <xf numFmtId="164" fontId="6" fillId="0" borderId="0" xfId="0" applyFont="1"/>
    <xf numFmtId="44" fontId="6" fillId="0" borderId="0" xfId="1" applyFont="1"/>
    <xf numFmtId="164" fontId="3" fillId="0" borderId="0" xfId="0" applyFont="1"/>
    <xf numFmtId="164" fontId="3" fillId="0" borderId="0" xfId="0" applyFont="1" applyAlignment="1"/>
    <xf numFmtId="164" fontId="3" fillId="0" borderId="1" xfId="0" applyFont="1" applyBorder="1" applyAlignment="1">
      <alignment horizontal="center"/>
    </xf>
    <xf numFmtId="0" fontId="3" fillId="0" borderId="1" xfId="0" applyNumberFormat="1" applyFont="1" applyBorder="1" applyAlignment="1">
      <alignment horizontal="center"/>
    </xf>
    <xf numFmtId="164" fontId="3" fillId="0" borderId="7" xfId="0" applyFont="1" applyBorder="1" applyAlignment="1">
      <alignment horizontal="center"/>
    </xf>
    <xf numFmtId="164" fontId="3" fillId="0" borderId="3" xfId="0" applyFont="1" applyBorder="1" applyAlignment="1"/>
    <xf numFmtId="164" fontId="3" fillId="0" borderId="3" xfId="0" applyFont="1" applyBorder="1" applyAlignment="1">
      <alignment horizontal="center"/>
    </xf>
    <xf numFmtId="10" fontId="3" fillId="0" borderId="0" xfId="0" applyNumberFormat="1" applyFont="1" applyAlignment="1">
      <alignment horizontal="center"/>
    </xf>
    <xf numFmtId="164" fontId="3" fillId="0" borderId="0" xfId="0" quotePrefix="1" applyFont="1" applyAlignment="1">
      <alignment horizontal="center"/>
    </xf>
    <xf numFmtId="166" fontId="3" fillId="0" borderId="9" xfId="0" applyNumberFormat="1" applyFont="1" applyBorder="1" applyAlignment="1">
      <alignment horizontal="center"/>
    </xf>
    <xf numFmtId="164" fontId="3" fillId="0" borderId="0" xfId="0" quotePrefix="1" applyFont="1"/>
    <xf numFmtId="166" fontId="3" fillId="0" borderId="8" xfId="0" applyNumberFormat="1" applyFont="1" applyBorder="1" applyAlignment="1">
      <alignment horizontal="center"/>
    </xf>
    <xf numFmtId="10" fontId="3" fillId="0" borderId="3" xfId="0" quotePrefix="1" applyNumberFormat="1" applyFont="1" applyBorder="1" applyAlignment="1">
      <alignment horizontal="center"/>
    </xf>
    <xf numFmtId="10" fontId="3" fillId="0" borderId="0" xfId="0" quotePrefix="1" applyNumberFormat="1" applyFont="1" applyAlignment="1">
      <alignment horizontal="center"/>
    </xf>
    <xf numFmtId="10" fontId="11" fillId="0" borderId="0" xfId="2" applyNumberFormat="1" applyFont="1" applyBorder="1" applyAlignment="1">
      <alignment horizontal="center"/>
    </xf>
    <xf numFmtId="10" fontId="3" fillId="0" borderId="9" xfId="0" applyNumberFormat="1" applyFont="1" applyBorder="1" applyAlignment="1">
      <alignment horizontal="center"/>
    </xf>
    <xf numFmtId="164" fontId="9" fillId="0" borderId="6" xfId="0" applyFont="1" applyBorder="1" applyAlignment="1"/>
    <xf numFmtId="10" fontId="3" fillId="0" borderId="6" xfId="0" applyNumberFormat="1" applyFont="1" applyBorder="1" applyAlignment="1">
      <alignment horizontal="center"/>
    </xf>
    <xf numFmtId="164" fontId="3" fillId="0" borderId="6" xfId="0" applyFont="1" applyBorder="1" applyAlignment="1">
      <alignment horizontal="center"/>
    </xf>
    <xf numFmtId="166" fontId="9" fillId="0" borderId="10" xfId="0" applyNumberFormat="1" applyFont="1" applyFill="1" applyBorder="1" applyAlignment="1">
      <alignment horizontal="center"/>
    </xf>
    <xf numFmtId="164" fontId="9" fillId="0" borderId="0" xfId="0" quotePrefix="1" applyFont="1" applyFill="1"/>
    <xf numFmtId="164" fontId="3" fillId="0" borderId="0" xfId="0" quotePrefix="1" applyFont="1" applyBorder="1"/>
    <xf numFmtId="164" fontId="7" fillId="0" borderId="0" xfId="0" applyFont="1"/>
    <xf numFmtId="164" fontId="6" fillId="0" borderId="0" xfId="0" applyFont="1" applyAlignment="1">
      <alignment horizontal="center"/>
    </xf>
    <xf numFmtId="164" fontId="8" fillId="0" borderId="0" xfId="0" applyFont="1"/>
    <xf numFmtId="44" fontId="8" fillId="0" borderId="0" xfId="1" applyFont="1"/>
    <xf numFmtId="164" fontId="7" fillId="0" borderId="0" xfId="0" applyFont="1" applyBorder="1" applyAlignment="1">
      <alignment horizontal="center"/>
    </xf>
    <xf numFmtId="44" fontId="5" fillId="0" borderId="0" xfId="1" applyFont="1" applyBorder="1"/>
    <xf numFmtId="44" fontId="8" fillId="0" borderId="0" xfId="1" applyFont="1" applyBorder="1"/>
    <xf numFmtId="44" fontId="8" fillId="0" borderId="3" xfId="1" applyFont="1" applyBorder="1"/>
    <xf numFmtId="44" fontId="8" fillId="0" borderId="3" xfId="1" applyFont="1" applyBorder="1" applyAlignment="1">
      <alignment horizontal="right"/>
    </xf>
    <xf numFmtId="164" fontId="5" fillId="0" borderId="3" xfId="0" applyFont="1" applyBorder="1"/>
    <xf numFmtId="0" fontId="5" fillId="0" borderId="0" xfId="1" applyNumberFormat="1" applyFont="1" applyBorder="1" applyAlignment="1">
      <alignment horizontal="left"/>
    </xf>
    <xf numFmtId="0" fontId="5" fillId="0" borderId="0" xfId="1" applyNumberFormat="1" applyFont="1" applyBorder="1"/>
    <xf numFmtId="0" fontId="8" fillId="0" borderId="0" xfId="1" applyNumberFormat="1" applyFont="1" applyBorder="1"/>
    <xf numFmtId="0" fontId="5" fillId="0" borderId="0" xfId="0" applyNumberFormat="1" applyFont="1"/>
    <xf numFmtId="164" fontId="12" fillId="0" borderId="0" xfId="0" applyFont="1"/>
    <xf numFmtId="164" fontId="14" fillId="0" borderId="0" xfId="0" applyFont="1"/>
    <xf numFmtId="164" fontId="3" fillId="0" borderId="11" xfId="0" applyFont="1" applyBorder="1" applyAlignment="1"/>
    <xf numFmtId="164" fontId="3" fillId="0" borderId="2" xfId="0" applyFont="1" applyBorder="1" applyAlignment="1">
      <alignment horizontal="center"/>
    </xf>
    <xf numFmtId="164" fontId="3" fillId="0" borderId="12" xfId="0" applyFont="1" applyBorder="1" applyAlignment="1"/>
    <xf numFmtId="164" fontId="3" fillId="0" borderId="4" xfId="0" applyFont="1" applyBorder="1" applyAlignment="1">
      <alignment horizontal="center"/>
    </xf>
    <xf numFmtId="10" fontId="10" fillId="0" borderId="0" xfId="0" applyNumberFormat="1" applyFont="1" applyAlignment="1">
      <alignment horizontal="center"/>
    </xf>
    <xf numFmtId="10" fontId="10" fillId="0" borderId="3" xfId="0" applyNumberFormat="1" applyFont="1" applyBorder="1" applyAlignment="1">
      <alignment horizontal="center"/>
    </xf>
    <xf numFmtId="10" fontId="10" fillId="0" borderId="0" xfId="2" quotePrefix="1" applyNumberFormat="1" applyFont="1" applyAlignment="1">
      <alignment horizontal="center"/>
    </xf>
    <xf numFmtId="10" fontId="10" fillId="0" borderId="0" xfId="2" applyNumberFormat="1" applyFont="1" applyAlignment="1">
      <alignment horizontal="center"/>
    </xf>
    <xf numFmtId="10" fontId="10" fillId="0" borderId="3" xfId="2" applyNumberFormat="1" applyFont="1" applyBorder="1" applyAlignment="1">
      <alignment horizontal="center"/>
    </xf>
    <xf numFmtId="164" fontId="3" fillId="0" borderId="9" xfId="0" applyFont="1" applyBorder="1" applyAlignment="1">
      <alignment horizontal="center"/>
    </xf>
    <xf numFmtId="166" fontId="3" fillId="0" borderId="7" xfId="0" applyNumberFormat="1" applyFont="1" applyBorder="1" applyAlignment="1">
      <alignment horizontal="center"/>
    </xf>
    <xf numFmtId="164" fontId="15" fillId="0" borderId="0" xfId="0" applyFont="1"/>
    <xf numFmtId="167" fontId="8" fillId="0" borderId="0" xfId="2" applyNumberFormat="1" applyFont="1"/>
    <xf numFmtId="167" fontId="5" fillId="0" borderId="0" xfId="2" applyNumberFormat="1" applyFont="1"/>
    <xf numFmtId="10" fontId="5" fillId="0" borderId="0" xfId="2" applyNumberFormat="1" applyFont="1"/>
    <xf numFmtId="166" fontId="5" fillId="0" borderId="0" xfId="2" applyNumberFormat="1" applyFont="1"/>
    <xf numFmtId="9" fontId="5" fillId="0" borderId="0" xfId="2" applyNumberFormat="1" applyFont="1"/>
    <xf numFmtId="10" fontId="6" fillId="0" borderId="0" xfId="2" applyNumberFormat="1" applyFont="1"/>
    <xf numFmtId="168" fontId="5" fillId="0" borderId="0" xfId="0" applyNumberFormat="1" applyFont="1"/>
    <xf numFmtId="168" fontId="8" fillId="0" borderId="0" xfId="0" applyNumberFormat="1" applyFont="1"/>
    <xf numFmtId="169" fontId="8" fillId="0" borderId="0" xfId="0" applyNumberFormat="1" applyFont="1"/>
    <xf numFmtId="165" fontId="8" fillId="0" borderId="0" xfId="1" applyNumberFormat="1" applyFont="1"/>
    <xf numFmtId="169" fontId="8" fillId="0" borderId="3" xfId="0" applyNumberFormat="1" applyFont="1" applyBorder="1"/>
    <xf numFmtId="169" fontId="5" fillId="0" borderId="0" xfId="0" applyNumberFormat="1" applyFont="1"/>
    <xf numFmtId="164" fontId="5" fillId="0" borderId="0" xfId="0" applyFont="1" applyAlignment="1">
      <alignment horizontal="right"/>
    </xf>
    <xf numFmtId="10" fontId="8" fillId="0" borderId="0" xfId="2" applyNumberFormat="1" applyFont="1"/>
    <xf numFmtId="10" fontId="8" fillId="0" borderId="3" xfId="2" applyNumberFormat="1" applyFont="1" applyBorder="1"/>
    <xf numFmtId="164" fontId="16" fillId="0" borderId="0" xfId="0" applyFont="1" applyAlignment="1">
      <alignment horizontal="right"/>
    </xf>
    <xf numFmtId="164" fontId="13" fillId="0" borderId="0" xfId="0" applyFont="1" applyAlignment="1">
      <alignment horizontal="right"/>
    </xf>
    <xf numFmtId="164" fontId="17" fillId="0" borderId="0" xfId="0" applyFont="1"/>
    <xf numFmtId="164" fontId="6" fillId="0" borderId="0" xfId="0" applyFont="1" applyAlignment="1">
      <alignment horizontal="center" wrapText="1"/>
    </xf>
    <xf numFmtId="43" fontId="5" fillId="0" borderId="0" xfId="3" applyFont="1"/>
    <xf numFmtId="170" fontId="5" fillId="0" borderId="0" xfId="3" applyNumberFormat="1" applyFont="1"/>
    <xf numFmtId="170" fontId="5" fillId="0" borderId="3" xfId="3" applyNumberFormat="1" applyFont="1" applyBorder="1"/>
    <xf numFmtId="164" fontId="6" fillId="0" borderId="0" xfId="0" applyFont="1" applyAlignment="1">
      <alignment horizontal="right"/>
    </xf>
    <xf numFmtId="164" fontId="5" fillId="0" borderId="0" xfId="0" applyFont="1" applyBorder="1"/>
    <xf numFmtId="170" fontId="5" fillId="0" borderId="0" xfId="3" applyNumberFormat="1" applyFont="1" applyBorder="1"/>
    <xf numFmtId="167" fontId="5" fillId="0" borderId="3" xfId="2" applyNumberFormat="1" applyFont="1" applyBorder="1"/>
    <xf numFmtId="1" fontId="5" fillId="0" borderId="0" xfId="3" applyNumberFormat="1" applyFont="1" applyFill="1" applyBorder="1"/>
    <xf numFmtId="164" fontId="12" fillId="0" borderId="0" xfId="0" applyFont="1" applyFill="1" applyBorder="1"/>
    <xf numFmtId="164" fontId="5" fillId="0" borderId="0" xfId="0" applyFont="1" applyFill="1" applyBorder="1"/>
    <xf numFmtId="164" fontId="8" fillId="0" borderId="0" xfId="0" applyFont="1" applyFill="1" applyBorder="1"/>
    <xf numFmtId="164" fontId="6" fillId="0" borderId="0" xfId="0" applyFont="1" applyFill="1" applyBorder="1"/>
    <xf numFmtId="164" fontId="6" fillId="0" borderId="0" xfId="0" applyFont="1" applyFill="1" applyBorder="1" applyAlignment="1">
      <alignment horizontal="center"/>
    </xf>
    <xf numFmtId="0" fontId="5" fillId="0" borderId="0" xfId="0" applyNumberFormat="1" applyFont="1" applyFill="1" applyBorder="1"/>
    <xf numFmtId="0" fontId="6" fillId="0" borderId="0" xfId="0" applyNumberFormat="1" applyFont="1" applyFill="1" applyBorder="1"/>
    <xf numFmtId="1" fontId="6" fillId="0" borderId="0" xfId="0" applyNumberFormat="1" applyFont="1" applyFill="1" applyBorder="1"/>
    <xf numFmtId="2" fontId="5" fillId="0" borderId="0" xfId="0" applyNumberFormat="1" applyFont="1" applyFill="1"/>
    <xf numFmtId="164" fontId="6" fillId="0" borderId="3" xfId="0" applyFont="1" applyBorder="1" applyAlignment="1">
      <alignment horizontal="center"/>
    </xf>
    <xf numFmtId="164" fontId="6" fillId="0" borderId="0" xfId="0" applyFont="1" applyAlignment="1">
      <alignment horizontal="center"/>
    </xf>
    <xf numFmtId="44" fontId="5" fillId="0" borderId="0" xfId="1" applyFont="1" applyFill="1"/>
    <xf numFmtId="164" fontId="5" fillId="0" borderId="0" xfId="0" applyFont="1" applyAlignment="1">
      <alignment horizontal="center"/>
    </xf>
    <xf numFmtId="165" fontId="5" fillId="0" borderId="0" xfId="1" applyNumberFormat="1" applyFont="1"/>
    <xf numFmtId="44" fontId="18" fillId="0" borderId="0" xfId="1" applyFont="1"/>
    <xf numFmtId="44" fontId="6" fillId="2" borderId="0" xfId="1" applyFont="1" applyFill="1"/>
    <xf numFmtId="166" fontId="8" fillId="0" borderId="5" xfId="2" applyNumberFormat="1" applyFont="1" applyFill="1" applyBorder="1"/>
    <xf numFmtId="44" fontId="5" fillId="3" borderId="0" xfId="1" applyFont="1" applyFill="1"/>
    <xf numFmtId="167" fontId="8" fillId="0" borderId="0" xfId="2" applyNumberFormat="1" applyFont="1" applyBorder="1"/>
    <xf numFmtId="169" fontId="18" fillId="0" borderId="0" xfId="0" applyNumberFormat="1" applyFont="1"/>
    <xf numFmtId="14" fontId="5" fillId="0" borderId="0" xfId="0" applyNumberFormat="1" applyFont="1"/>
    <xf numFmtId="165" fontId="8" fillId="0" borderId="0" xfId="1" applyNumberFormat="1" applyFont="1" applyFill="1"/>
    <xf numFmtId="164" fontId="5" fillId="0" borderId="0" xfId="0" applyFont="1" applyFill="1"/>
    <xf numFmtId="164" fontId="19" fillId="0" borderId="0" xfId="0" applyFont="1" applyBorder="1" applyAlignment="1">
      <alignment vertical="center"/>
    </xf>
    <xf numFmtId="164" fontId="20" fillId="0" borderId="0" xfId="0" applyFont="1" applyBorder="1" applyAlignment="1">
      <alignment vertical="center"/>
    </xf>
    <xf numFmtId="44" fontId="20" fillId="0" borderId="0" xfId="1" applyFont="1" applyBorder="1" applyAlignment="1">
      <alignment horizontal="right" vertical="center"/>
    </xf>
    <xf numFmtId="44" fontId="10" fillId="0" borderId="0" xfId="1" applyFont="1" applyBorder="1" applyAlignment="1">
      <alignment horizontal="right" vertical="center"/>
    </xf>
    <xf numFmtId="164" fontId="19" fillId="0" borderId="0" xfId="0" applyFont="1" applyBorder="1" applyAlignment="1">
      <alignment vertical="center" wrapText="1"/>
    </xf>
    <xf numFmtId="164" fontId="19" fillId="0" borderId="0" xfId="0" applyFont="1" applyBorder="1" applyAlignment="1">
      <alignment horizontal="right" vertical="center"/>
    </xf>
    <xf numFmtId="164" fontId="19" fillId="0" borderId="0" xfId="0" applyFont="1" applyFill="1" applyBorder="1" applyAlignment="1">
      <alignment vertical="center"/>
    </xf>
    <xf numFmtId="164" fontId="20" fillId="0" borderId="0" xfId="0" applyFont="1" applyBorder="1" applyAlignment="1">
      <alignment vertical="center" wrapText="1"/>
    </xf>
    <xf numFmtId="44" fontId="20" fillId="0" borderId="0" xfId="1" applyFont="1" applyFill="1" applyBorder="1" applyAlignment="1">
      <alignment vertical="center"/>
    </xf>
    <xf numFmtId="44" fontId="20" fillId="0" borderId="0" xfId="1" applyFont="1" applyFill="1" applyBorder="1" applyAlignment="1">
      <alignment horizontal="right" vertical="center"/>
    </xf>
    <xf numFmtId="44" fontId="20" fillId="0" borderId="0" xfId="1" applyFont="1" applyBorder="1" applyAlignment="1">
      <alignment vertical="center"/>
    </xf>
    <xf numFmtId="164" fontId="21" fillId="0" borderId="0" xfId="0" applyFont="1"/>
    <xf numFmtId="164" fontId="22" fillId="0" borderId="0" xfId="0" applyFont="1"/>
    <xf numFmtId="44" fontId="3" fillId="0" borderId="0" xfId="1" applyFont="1"/>
    <xf numFmtId="44" fontId="3" fillId="0" borderId="0" xfId="1" applyFont="1" applyFill="1" applyBorder="1"/>
    <xf numFmtId="164" fontId="6" fillId="0" borderId="0" xfId="0" applyFont="1" applyAlignment="1">
      <alignment horizontal="center"/>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48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H32"/>
  <sheetViews>
    <sheetView tabSelected="1" zoomScale="80" zoomScaleNormal="80" workbookViewId="0"/>
  </sheetViews>
  <sheetFormatPr defaultRowHeight="15.75" x14ac:dyDescent="0.25"/>
  <cols>
    <col min="1" max="1" width="51" style="1" bestFit="1" customWidth="1"/>
    <col min="2" max="2" width="9.33203125" style="1" bestFit="1" customWidth="1"/>
    <col min="3" max="4" width="12.77734375" style="1" customWidth="1"/>
    <col min="5" max="5" width="12.77734375" style="1" hidden="1" customWidth="1"/>
    <col min="6" max="6" width="10.6640625" style="1" hidden="1" customWidth="1"/>
    <col min="7" max="7" width="10.6640625" style="1" bestFit="1" customWidth="1"/>
    <col min="8" max="16384" width="8.88671875" style="1"/>
  </cols>
  <sheetData>
    <row r="1" spans="1:7" x14ac:dyDescent="0.25">
      <c r="C1" s="145" t="s">
        <v>125</v>
      </c>
      <c r="D1" s="145"/>
      <c r="E1" s="145"/>
      <c r="F1" s="145"/>
      <c r="G1" s="145"/>
    </row>
    <row r="2" spans="1:7" x14ac:dyDescent="0.25">
      <c r="C2" s="145" t="s">
        <v>93</v>
      </c>
      <c r="D2" s="145"/>
      <c r="E2" s="145"/>
      <c r="F2" s="145"/>
      <c r="G2" s="145"/>
    </row>
    <row r="3" spans="1:7" x14ac:dyDescent="0.25">
      <c r="C3" s="117"/>
      <c r="D3" s="117"/>
      <c r="E3" s="117"/>
    </row>
    <row r="4" spans="1:7" x14ac:dyDescent="0.25">
      <c r="C4" s="145" t="s">
        <v>115</v>
      </c>
      <c r="D4" s="145"/>
      <c r="E4" s="145" t="s">
        <v>23</v>
      </c>
      <c r="F4" s="145"/>
      <c r="G4" s="145"/>
    </row>
    <row r="5" spans="1:7" x14ac:dyDescent="0.25">
      <c r="C5" s="116" t="s">
        <v>14</v>
      </c>
      <c r="D5" s="116" t="s">
        <v>16</v>
      </c>
      <c r="E5" s="116" t="s">
        <v>14</v>
      </c>
      <c r="F5" s="116" t="s">
        <v>16</v>
      </c>
      <c r="G5" s="116" t="s">
        <v>124</v>
      </c>
    </row>
    <row r="7" spans="1:7" x14ac:dyDescent="0.25">
      <c r="A7" s="1" t="s">
        <v>15</v>
      </c>
      <c r="C7" s="118">
        <f>Costs_Reference!B20+Costs_Reference!B24+Costs_Reference!B26</f>
        <v>5301.8500000000013</v>
      </c>
      <c r="D7" s="118">
        <f>Costs_Reference!C20+Costs_Reference!C24+Costs_Reference!C26</f>
        <v>7067.1080000000002</v>
      </c>
      <c r="E7" s="24">
        <f>Costs_Reference!B28</f>
        <v>13884.97625</v>
      </c>
      <c r="F7" s="24">
        <f>Costs_Reference!C28</f>
        <v>15650.234250000001</v>
      </c>
      <c r="G7" s="24">
        <f>AVERAGE(E7:F7)</f>
        <v>14767.605250000001</v>
      </c>
    </row>
    <row r="9" spans="1:7" x14ac:dyDescent="0.25">
      <c r="A9" s="1" t="s">
        <v>26</v>
      </c>
      <c r="B9" s="82">
        <f>'WACC - Carrying Charges'!$I$29</f>
        <v>0.21138502435709527</v>
      </c>
      <c r="C9" s="24">
        <f>C7*$B$9</f>
        <v>1120.7316913876659</v>
      </c>
      <c r="D9" s="24">
        <f t="shared" ref="D9:G9" si="0">D7*$B$9</f>
        <v>1493.8807967142229</v>
      </c>
      <c r="E9" s="24">
        <f t="shared" si="0"/>
        <v>2935.0760428039393</v>
      </c>
      <c r="F9" s="24">
        <f t="shared" si="0"/>
        <v>3308.225148130497</v>
      </c>
      <c r="G9" s="24">
        <f t="shared" si="0"/>
        <v>3121.650595467218</v>
      </c>
    </row>
    <row r="11" spans="1:7" x14ac:dyDescent="0.25">
      <c r="A11" s="1" t="s">
        <v>61</v>
      </c>
      <c r="C11" s="24">
        <f>Costs_Reference!B32</f>
        <v>126</v>
      </c>
      <c r="D11" s="24">
        <f>Costs_Reference!C32</f>
        <v>126</v>
      </c>
      <c r="E11" s="24">
        <f>C11</f>
        <v>126</v>
      </c>
      <c r="F11" s="24">
        <f>D11</f>
        <v>126</v>
      </c>
      <c r="G11" s="24">
        <f>AVERAGE(E11:F11)</f>
        <v>126</v>
      </c>
    </row>
    <row r="12" spans="1:7" x14ac:dyDescent="0.25">
      <c r="A12" s="103" t="s">
        <v>64</v>
      </c>
      <c r="C12" s="27">
        <f>Costs_Reference!B33</f>
        <v>255</v>
      </c>
      <c r="D12" s="27">
        <f>Costs_Reference!C33</f>
        <v>510</v>
      </c>
      <c r="E12" s="27">
        <f>C12</f>
        <v>255</v>
      </c>
      <c r="F12" s="27">
        <f>D12</f>
        <v>510</v>
      </c>
      <c r="G12" s="27">
        <f>E12</f>
        <v>255</v>
      </c>
    </row>
    <row r="13" spans="1:7" x14ac:dyDescent="0.25">
      <c r="C13" s="24">
        <f>SUM(C9:C12)</f>
        <v>1501.7316913876659</v>
      </c>
      <c r="D13" s="24">
        <f t="shared" ref="D13:G13" si="1">SUM(D9:D12)</f>
        <v>2129.8807967142229</v>
      </c>
      <c r="E13" s="24">
        <f t="shared" si="1"/>
        <v>3316.0760428039393</v>
      </c>
      <c r="F13" s="24">
        <f t="shared" si="1"/>
        <v>3944.225148130497</v>
      </c>
      <c r="G13" s="24">
        <f t="shared" si="1"/>
        <v>3502.650595467218</v>
      </c>
    </row>
    <row r="15" spans="1:7" x14ac:dyDescent="0.25">
      <c r="A15" s="1" t="s">
        <v>119</v>
      </c>
      <c r="C15" s="24">
        <f>C13/12</f>
        <v>125.14430761563882</v>
      </c>
      <c r="D15" s="24">
        <f>D13/12</f>
        <v>177.4900663928519</v>
      </c>
      <c r="E15" s="24">
        <f t="shared" ref="E15:G15" si="2">E13/12</f>
        <v>276.33967023366159</v>
      </c>
      <c r="F15" s="24">
        <f t="shared" si="2"/>
        <v>328.68542901087477</v>
      </c>
      <c r="G15" s="24">
        <f t="shared" si="2"/>
        <v>291.88754962226818</v>
      </c>
    </row>
    <row r="16" spans="1:7" x14ac:dyDescent="0.25">
      <c r="A16" s="1" t="s">
        <v>117</v>
      </c>
      <c r="C16" s="119" t="s">
        <v>118</v>
      </c>
      <c r="D16" s="119" t="s">
        <v>118</v>
      </c>
      <c r="E16" s="118">
        <f>E13/365/'2017 EV Usage Data'!$B$15</f>
        <v>35.807330511662968</v>
      </c>
      <c r="F16" s="118">
        <f>F13/365/'2017 EV Usage Data'!$B$15</f>
        <v>42.590149221096063</v>
      </c>
      <c r="G16" s="118">
        <f>G13/365/'2017 EV Usage Data'!$B$15</f>
        <v>37.821981739814753</v>
      </c>
    </row>
    <row r="17" spans="1:8" x14ac:dyDescent="0.25">
      <c r="A17" s="1" t="s">
        <v>28</v>
      </c>
      <c r="B17" s="120">
        <f>'ECR FAC TCJA'!$G$23</f>
        <v>0.10637000000000001</v>
      </c>
      <c r="C17" s="24">
        <f>$B$17*'2017 EV Usage Data'!C26</f>
        <v>117.731400974</v>
      </c>
      <c r="D17" s="24">
        <f>C17*2</f>
        <v>235.46280194799999</v>
      </c>
      <c r="E17" s="24">
        <f>$B$17*'2017 EV Usage Data'!B26</f>
        <v>40.778165612252586</v>
      </c>
      <c r="F17" s="24">
        <f>E17*2</f>
        <v>81.556331224505172</v>
      </c>
      <c r="G17" s="121">
        <f>E17</f>
        <v>40.778165612252586</v>
      </c>
    </row>
    <row r="18" spans="1:8" x14ac:dyDescent="0.25">
      <c r="A18" s="1" t="s">
        <v>29</v>
      </c>
      <c r="C18" s="24">
        <f>C17/12</f>
        <v>9.8109500811666663</v>
      </c>
      <c r="D18" s="24">
        <f t="shared" ref="D18:G18" si="3">D17/12</f>
        <v>19.621900162333333</v>
      </c>
      <c r="E18" s="24">
        <f t="shared" si="3"/>
        <v>3.3981804676877156</v>
      </c>
      <c r="F18" s="24">
        <f t="shared" si="3"/>
        <v>6.7963609353754313</v>
      </c>
      <c r="G18" s="24">
        <f t="shared" si="3"/>
        <v>3.3981804676877156</v>
      </c>
      <c r="H18" s="1" t="s">
        <v>196</v>
      </c>
    </row>
    <row r="19" spans="1:8" x14ac:dyDescent="0.25">
      <c r="A19" s="1" t="s">
        <v>30</v>
      </c>
      <c r="C19" s="119" t="s">
        <v>118</v>
      </c>
      <c r="D19" s="119" t="s">
        <v>118</v>
      </c>
      <c r="E19" s="24">
        <f>('2017 EV Usage Data'!$B$26*'LGE Rate Summary'!$B$17)/365/'2017 EV Usage Data'!$B$15</f>
        <v>0.44032683053390048</v>
      </c>
      <c r="F19" s="24">
        <f>('2017 EV Usage Data'!$B$26*'LGE Rate Summary'!$B$17*2)/365/'2017 EV Usage Data'!$B$15</f>
        <v>0.88065366106780096</v>
      </c>
      <c r="G19" s="121">
        <f>('2017 EV Usage Data'!$B$26*'LGE Rate Summary'!$B$17)/365/'2017 EV Usage Data'!$B$15</f>
        <v>0.44032683053390048</v>
      </c>
      <c r="H19" s="1" t="s">
        <v>193</v>
      </c>
    </row>
    <row r="20" spans="1:8" x14ac:dyDescent="0.25">
      <c r="A20" s="1" t="s">
        <v>17</v>
      </c>
      <c r="C20" s="55">
        <v>0</v>
      </c>
      <c r="D20" s="55">
        <v>0</v>
      </c>
      <c r="E20" s="55">
        <v>0</v>
      </c>
      <c r="F20" s="55">
        <v>0</v>
      </c>
      <c r="G20" s="55">
        <v>0</v>
      </c>
      <c r="H20" s="1" t="s">
        <v>122</v>
      </c>
    </row>
    <row r="21" spans="1:8" x14ac:dyDescent="0.25">
      <c r="A21" s="1" t="s">
        <v>18</v>
      </c>
      <c r="C21" s="55">
        <v>0</v>
      </c>
      <c r="D21" s="55">
        <v>0</v>
      </c>
      <c r="E21" s="120">
        <f>'ECR FAC TCJA'!G26</f>
        <v>-5.2196833333333333E-3</v>
      </c>
      <c r="F21" s="120">
        <f t="shared" ref="F21:G23" si="4">E21</f>
        <v>-5.2196833333333333E-3</v>
      </c>
      <c r="G21" s="120">
        <f t="shared" si="4"/>
        <v>-5.2196833333333333E-3</v>
      </c>
      <c r="H21" s="1" t="s">
        <v>193</v>
      </c>
    </row>
    <row r="22" spans="1:8" x14ac:dyDescent="0.25">
      <c r="A22" s="1" t="s">
        <v>21</v>
      </c>
      <c r="C22" s="55">
        <v>0</v>
      </c>
      <c r="D22" s="55">
        <v>0</v>
      </c>
      <c r="E22" s="120">
        <f>'ECR FAC TCJA'!H26</f>
        <v>1.4656779572500001E-2</v>
      </c>
      <c r="F22" s="120">
        <f t="shared" si="4"/>
        <v>1.4656779572500001E-2</v>
      </c>
      <c r="G22" s="120">
        <f t="shared" si="4"/>
        <v>1.4656779572500001E-2</v>
      </c>
      <c r="H22" s="1" t="s">
        <v>193</v>
      </c>
    </row>
    <row r="23" spans="1:8" hidden="1" x14ac:dyDescent="0.25">
      <c r="A23" s="1" t="s">
        <v>123</v>
      </c>
      <c r="C23" s="124">
        <f>'2017 EV Usage Data'!$C$26/12*'ECR FAC TCJA'!$I$26</f>
        <v>0</v>
      </c>
      <c r="D23" s="124">
        <f t="shared" ref="D23" si="5">C23*2</f>
        <v>0</v>
      </c>
      <c r="E23" s="120">
        <f>'ECR FAC TCJA'!I26</f>
        <v>0</v>
      </c>
      <c r="F23" s="120">
        <f t="shared" si="4"/>
        <v>0</v>
      </c>
      <c r="G23" s="120">
        <f t="shared" si="4"/>
        <v>0</v>
      </c>
    </row>
    <row r="24" spans="1:8" x14ac:dyDescent="0.25">
      <c r="A24" s="1" t="s">
        <v>20</v>
      </c>
      <c r="C24" s="55">
        <v>0</v>
      </c>
      <c r="D24" s="55">
        <v>0</v>
      </c>
      <c r="E24" s="55">
        <v>0</v>
      </c>
      <c r="F24" s="55">
        <v>0</v>
      </c>
      <c r="G24" s="55">
        <v>0</v>
      </c>
      <c r="H24" s="1" t="s">
        <v>116</v>
      </c>
    </row>
    <row r="25" spans="1:8" x14ac:dyDescent="0.25">
      <c r="A25" s="1" t="s">
        <v>19</v>
      </c>
      <c r="C25" s="55">
        <v>0</v>
      </c>
      <c r="D25" s="55">
        <v>0</v>
      </c>
      <c r="E25" s="55">
        <v>0</v>
      </c>
      <c r="F25" s="55">
        <v>0</v>
      </c>
      <c r="G25" s="55">
        <v>0</v>
      </c>
      <c r="H25" s="1" t="s">
        <v>116</v>
      </c>
    </row>
    <row r="26" spans="1:8" x14ac:dyDescent="0.25">
      <c r="A26" s="1" t="s">
        <v>24</v>
      </c>
      <c r="C26" s="55">
        <v>0</v>
      </c>
      <c r="D26" s="55">
        <v>0</v>
      </c>
      <c r="E26" s="55">
        <v>0</v>
      </c>
      <c r="F26" s="55">
        <v>0</v>
      </c>
      <c r="G26" s="55">
        <v>0</v>
      </c>
      <c r="H26" s="1" t="s">
        <v>116</v>
      </c>
    </row>
    <row r="27" spans="1:8" x14ac:dyDescent="0.25">
      <c r="A27" s="1" t="s">
        <v>31</v>
      </c>
      <c r="C27" s="122">
        <f>C15+C18+C20+C21+C22+C23+C24+C25+C26</f>
        <v>134.95525769680549</v>
      </c>
      <c r="D27" s="122">
        <f>D15+D18+D20+D21+D22+D23+D24+D25+D26</f>
        <v>197.11196655518523</v>
      </c>
      <c r="H27" s="1" t="s">
        <v>195</v>
      </c>
    </row>
    <row r="28" spans="1:8" x14ac:dyDescent="0.25">
      <c r="A28" s="1" t="s">
        <v>25</v>
      </c>
      <c r="E28" s="24">
        <f>SUM(E16,E19,E20,E21,E22,E23,E24,E25,E26)</f>
        <v>36.257094438436035</v>
      </c>
      <c r="F28" s="24">
        <f t="shared" ref="F28:G28" si="6">SUM(F16,F19,F20,F21,F22,F23,F24,F25,F26)</f>
        <v>43.480239978403034</v>
      </c>
      <c r="G28" s="122">
        <f t="shared" si="6"/>
        <v>38.271745666587819</v>
      </c>
    </row>
    <row r="29" spans="1:8" x14ac:dyDescent="0.25">
      <c r="A29" s="1" t="s">
        <v>126</v>
      </c>
      <c r="C29" s="122">
        <f>C15</f>
        <v>125.14430761563882</v>
      </c>
      <c r="D29" s="122">
        <f>D15</f>
        <v>177.4900663928519</v>
      </c>
      <c r="H29" s="1" t="s">
        <v>194</v>
      </c>
    </row>
    <row r="31" spans="1:8" x14ac:dyDescent="0.25">
      <c r="A31" s="51" t="s">
        <v>134</v>
      </c>
    </row>
    <row r="32" spans="1:8" x14ac:dyDescent="0.25">
      <c r="A32" s="1" t="s">
        <v>135</v>
      </c>
    </row>
  </sheetData>
  <mergeCells count="4">
    <mergeCell ref="C1:G1"/>
    <mergeCell ref="C2:G2"/>
    <mergeCell ref="C4:D4"/>
    <mergeCell ref="E4:G4"/>
  </mergeCells>
  <pageMargins left="0.7" right="0.7" top="0.75" bottom="0.75" header="0.3" footer="0.3"/>
  <pageSetup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H32"/>
  <sheetViews>
    <sheetView zoomScale="80" zoomScaleNormal="80" workbookViewId="0"/>
  </sheetViews>
  <sheetFormatPr defaultRowHeight="15.75" x14ac:dyDescent="0.25"/>
  <cols>
    <col min="1" max="1" width="51" style="1" bestFit="1" customWidth="1"/>
    <col min="2" max="2" width="9.33203125" style="1" bestFit="1" customWidth="1"/>
    <col min="3" max="4" width="12.77734375" style="1" customWidth="1"/>
    <col min="5" max="5" width="12.77734375" style="1" hidden="1" customWidth="1"/>
    <col min="6" max="6" width="10.6640625" style="1" hidden="1" customWidth="1"/>
    <col min="7" max="7" width="10.6640625" style="1" bestFit="1" customWidth="1"/>
    <col min="8" max="16384" width="8.88671875" style="1"/>
  </cols>
  <sheetData>
    <row r="1" spans="1:7" x14ac:dyDescent="0.25">
      <c r="C1" s="145" t="s">
        <v>92</v>
      </c>
      <c r="D1" s="145"/>
      <c r="E1" s="145"/>
      <c r="F1" s="145"/>
      <c r="G1" s="145"/>
    </row>
    <row r="2" spans="1:7" x14ac:dyDescent="0.25">
      <c r="C2" s="145" t="s">
        <v>93</v>
      </c>
      <c r="D2" s="145"/>
      <c r="E2" s="145"/>
      <c r="F2" s="145"/>
      <c r="G2" s="145"/>
    </row>
    <row r="3" spans="1:7" x14ac:dyDescent="0.25">
      <c r="C3" s="53"/>
      <c r="D3" s="53"/>
      <c r="E3" s="53"/>
    </row>
    <row r="4" spans="1:7" x14ac:dyDescent="0.25">
      <c r="C4" s="145" t="s">
        <v>115</v>
      </c>
      <c r="D4" s="145"/>
      <c r="E4" s="145" t="s">
        <v>23</v>
      </c>
      <c r="F4" s="145"/>
      <c r="G4" s="145"/>
    </row>
    <row r="5" spans="1:7" x14ac:dyDescent="0.25">
      <c r="C5" s="116" t="s">
        <v>14</v>
      </c>
      <c r="D5" s="116" t="s">
        <v>16</v>
      </c>
      <c r="E5" s="116" t="s">
        <v>14</v>
      </c>
      <c r="F5" s="116" t="s">
        <v>16</v>
      </c>
      <c r="G5" s="116" t="s">
        <v>124</v>
      </c>
    </row>
    <row r="7" spans="1:7" x14ac:dyDescent="0.25">
      <c r="A7" s="1" t="s">
        <v>15</v>
      </c>
      <c r="C7" s="118">
        <f>Costs_Reference!B20+Costs_Reference!B24+Costs_Reference!B26</f>
        <v>5301.8500000000013</v>
      </c>
      <c r="D7" s="118">
        <f>Costs_Reference!C20+Costs_Reference!C24+Costs_Reference!C26</f>
        <v>7067.1080000000002</v>
      </c>
      <c r="E7" s="24">
        <f>Costs_Reference!B28</f>
        <v>13884.97625</v>
      </c>
      <c r="F7" s="24">
        <f>Costs_Reference!C28</f>
        <v>15650.234250000001</v>
      </c>
      <c r="G7" s="24">
        <f>AVERAGE(E7:F7)</f>
        <v>14767.605250000001</v>
      </c>
    </row>
    <row r="9" spans="1:7" x14ac:dyDescent="0.25">
      <c r="A9" s="1" t="s">
        <v>26</v>
      </c>
      <c r="B9" s="82">
        <f>'WACC - Carrying Charges'!$A$29</f>
        <v>0.20877579435709526</v>
      </c>
      <c r="C9" s="24">
        <f>C7*$B$9</f>
        <v>1106.8979453121658</v>
      </c>
      <c r="D9" s="24">
        <f t="shared" ref="D9:G9" si="0">D7*$B$9</f>
        <v>1475.4410865073828</v>
      </c>
      <c r="E9" s="24">
        <f t="shared" si="0"/>
        <v>2898.8469462231515</v>
      </c>
      <c r="F9" s="24">
        <f t="shared" si="0"/>
        <v>3267.3900874183691</v>
      </c>
      <c r="G9" s="24">
        <f t="shared" si="0"/>
        <v>3083.1185168207603</v>
      </c>
    </row>
    <row r="11" spans="1:7" x14ac:dyDescent="0.25">
      <c r="A11" s="1" t="s">
        <v>61</v>
      </c>
      <c r="C11" s="24">
        <f>Costs_Reference!B32</f>
        <v>126</v>
      </c>
      <c r="D11" s="24">
        <f>Costs_Reference!C32</f>
        <v>126</v>
      </c>
      <c r="E11" s="24">
        <f>C11</f>
        <v>126</v>
      </c>
      <c r="F11" s="24">
        <f>D11</f>
        <v>126</v>
      </c>
      <c r="G11" s="24">
        <f>AVERAGE(E11:F11)</f>
        <v>126</v>
      </c>
    </row>
    <row r="12" spans="1:7" x14ac:dyDescent="0.25">
      <c r="A12" s="103" t="s">
        <v>64</v>
      </c>
      <c r="C12" s="27">
        <f>Costs_Reference!B33</f>
        <v>255</v>
      </c>
      <c r="D12" s="27">
        <f>Costs_Reference!C33</f>
        <v>510</v>
      </c>
      <c r="E12" s="27">
        <f>C12</f>
        <v>255</v>
      </c>
      <c r="F12" s="27">
        <f>D12</f>
        <v>510</v>
      </c>
      <c r="G12" s="27">
        <f>E12</f>
        <v>255</v>
      </c>
    </row>
    <row r="13" spans="1:7" x14ac:dyDescent="0.25">
      <c r="C13" s="24">
        <f>SUM(C9:C12)</f>
        <v>1487.8979453121658</v>
      </c>
      <c r="D13" s="24">
        <f t="shared" ref="D13:G13" si="1">SUM(D9:D12)</f>
        <v>2111.4410865073828</v>
      </c>
      <c r="E13" s="24">
        <f t="shared" si="1"/>
        <v>3279.8469462231515</v>
      </c>
      <c r="F13" s="24">
        <f t="shared" si="1"/>
        <v>3903.3900874183691</v>
      </c>
      <c r="G13" s="24">
        <f t="shared" si="1"/>
        <v>3464.1185168207603</v>
      </c>
    </row>
    <row r="15" spans="1:7" x14ac:dyDescent="0.25">
      <c r="A15" s="1" t="s">
        <v>119</v>
      </c>
      <c r="C15" s="24">
        <f>C13/12</f>
        <v>123.99149544268049</v>
      </c>
      <c r="D15" s="24">
        <f>D13/12</f>
        <v>175.95342387561524</v>
      </c>
      <c r="E15" s="24">
        <f t="shared" ref="E15:G15" si="2">E13/12</f>
        <v>273.32057885192927</v>
      </c>
      <c r="F15" s="24">
        <f t="shared" si="2"/>
        <v>325.2825072848641</v>
      </c>
      <c r="G15" s="24">
        <f t="shared" si="2"/>
        <v>288.67654306839671</v>
      </c>
    </row>
    <row r="16" spans="1:7" x14ac:dyDescent="0.25">
      <c r="A16" s="1" t="s">
        <v>117</v>
      </c>
      <c r="C16" s="119" t="s">
        <v>118</v>
      </c>
      <c r="D16" s="119" t="s">
        <v>118</v>
      </c>
      <c r="E16" s="118">
        <f>E13/365/'2017 EV Usage Data'!$B$15</f>
        <v>35.416124996873165</v>
      </c>
      <c r="F16" s="118">
        <f>F13/365/'2017 EV Usage Data'!$B$15</f>
        <v>42.149208031416165</v>
      </c>
      <c r="G16" s="118">
        <f>G13/365/'2017 EV Usage Data'!$B$15</f>
        <v>37.405908387579913</v>
      </c>
    </row>
    <row r="17" spans="1:8" x14ac:dyDescent="0.25">
      <c r="A17" s="1" t="s">
        <v>28</v>
      </c>
      <c r="B17" s="120">
        <f>'ECR FAC TCJA'!$B$23</f>
        <v>0.11379</v>
      </c>
      <c r="C17" s="24">
        <f>$B$17*'2017 EV Usage Data'!C26</f>
        <v>125.94393265799999</v>
      </c>
      <c r="D17" s="24">
        <f>C17*2</f>
        <v>251.88786531599999</v>
      </c>
      <c r="E17" s="24">
        <f>$B$17*'2017 EV Usage Data'!B26</f>
        <v>43.622708141564559</v>
      </c>
      <c r="F17" s="24">
        <f>E17*2</f>
        <v>87.245416283129117</v>
      </c>
      <c r="G17" s="121">
        <f>E17</f>
        <v>43.622708141564559</v>
      </c>
    </row>
    <row r="18" spans="1:8" x14ac:dyDescent="0.25">
      <c r="A18" s="1" t="s">
        <v>29</v>
      </c>
      <c r="C18" s="24">
        <f>C17/12</f>
        <v>10.495327721499999</v>
      </c>
      <c r="D18" s="24">
        <f t="shared" ref="D18:G18" si="3">D17/12</f>
        <v>20.990655442999998</v>
      </c>
      <c r="E18" s="24">
        <f t="shared" si="3"/>
        <v>3.6352256784637134</v>
      </c>
      <c r="F18" s="24">
        <f t="shared" si="3"/>
        <v>7.2704513569274267</v>
      </c>
      <c r="G18" s="24">
        <f t="shared" si="3"/>
        <v>3.6352256784637134</v>
      </c>
      <c r="H18" s="1" t="s">
        <v>196</v>
      </c>
    </row>
    <row r="19" spans="1:8" x14ac:dyDescent="0.25">
      <c r="A19" s="1" t="s">
        <v>30</v>
      </c>
      <c r="C19" s="119" t="s">
        <v>118</v>
      </c>
      <c r="D19" s="119" t="s">
        <v>118</v>
      </c>
      <c r="E19" s="24">
        <f>('2017 EV Usage Data'!$B$26*'KU Rate Summary'!$B$17)/365/'2017 EV Usage Data'!$B$15</f>
        <v>0.47104249362087564</v>
      </c>
      <c r="F19" s="24">
        <f>('2017 EV Usage Data'!$B$26*'KU Rate Summary'!$B$17*2)/365/'2017 EV Usage Data'!$B$15</f>
        <v>0.94208498724175127</v>
      </c>
      <c r="G19" s="121">
        <f>('2017 EV Usage Data'!$B$26*'KU Rate Summary'!$B$17)/365/'2017 EV Usage Data'!$B$15</f>
        <v>0.47104249362087564</v>
      </c>
      <c r="H19" s="1" t="s">
        <v>193</v>
      </c>
    </row>
    <row r="20" spans="1:8" x14ac:dyDescent="0.25">
      <c r="A20" s="1" t="s">
        <v>17</v>
      </c>
      <c r="C20" s="55">
        <v>0</v>
      </c>
      <c r="D20" s="55">
        <v>0</v>
      </c>
      <c r="E20" s="55">
        <v>0</v>
      </c>
      <c r="F20" s="55">
        <v>0</v>
      </c>
      <c r="G20" s="55">
        <v>0</v>
      </c>
      <c r="H20" s="1" t="s">
        <v>122</v>
      </c>
    </row>
    <row r="21" spans="1:8" x14ac:dyDescent="0.25">
      <c r="A21" s="1" t="s">
        <v>18</v>
      </c>
      <c r="C21" s="55">
        <v>0</v>
      </c>
      <c r="D21" s="55">
        <v>0</v>
      </c>
      <c r="E21" s="120">
        <f>'ECR FAC TCJA'!B26</f>
        <v>-7.6290250000000011E-3</v>
      </c>
      <c r="F21" s="120">
        <f t="shared" ref="F21:G23" si="4">E21</f>
        <v>-7.6290250000000011E-3</v>
      </c>
      <c r="G21" s="120">
        <f t="shared" si="4"/>
        <v>-7.6290250000000011E-3</v>
      </c>
      <c r="H21" s="1" t="s">
        <v>193</v>
      </c>
    </row>
    <row r="22" spans="1:8" x14ac:dyDescent="0.25">
      <c r="A22" s="1" t="s">
        <v>21</v>
      </c>
      <c r="C22" s="55">
        <v>0</v>
      </c>
      <c r="D22" s="55">
        <v>0</v>
      </c>
      <c r="E22" s="120">
        <f>'ECR FAC TCJA'!C26</f>
        <v>5.993162208333333E-3</v>
      </c>
      <c r="F22" s="120">
        <f t="shared" si="4"/>
        <v>5.993162208333333E-3</v>
      </c>
      <c r="G22" s="120">
        <f t="shared" si="4"/>
        <v>5.993162208333333E-3</v>
      </c>
      <c r="H22" s="1" t="s">
        <v>193</v>
      </c>
    </row>
    <row r="23" spans="1:8" hidden="1" x14ac:dyDescent="0.25">
      <c r="A23" s="1" t="s">
        <v>123</v>
      </c>
      <c r="C23" s="124">
        <f>'2017 EV Usage Data'!$C$26/12*'ECR FAC TCJA'!$D$26</f>
        <v>0</v>
      </c>
      <c r="D23" s="124">
        <f t="shared" ref="D23" si="5">C23*2</f>
        <v>0</v>
      </c>
      <c r="E23" s="120">
        <f>'ECR FAC TCJA'!D26</f>
        <v>0</v>
      </c>
      <c r="F23" s="120">
        <f t="shared" si="4"/>
        <v>0</v>
      </c>
      <c r="G23" s="120">
        <f t="shared" si="4"/>
        <v>0</v>
      </c>
    </row>
    <row r="24" spans="1:8" x14ac:dyDescent="0.25">
      <c r="A24" s="1" t="s">
        <v>20</v>
      </c>
      <c r="C24" s="55">
        <v>0</v>
      </c>
      <c r="D24" s="55">
        <v>0</v>
      </c>
      <c r="E24" s="55">
        <v>0</v>
      </c>
      <c r="F24" s="55">
        <v>0</v>
      </c>
      <c r="G24" s="55">
        <v>0</v>
      </c>
      <c r="H24" s="1" t="s">
        <v>116</v>
      </c>
    </row>
    <row r="25" spans="1:8" x14ac:dyDescent="0.25">
      <c r="A25" s="1" t="s">
        <v>19</v>
      </c>
      <c r="C25" s="55">
        <v>0</v>
      </c>
      <c r="D25" s="55">
        <v>0</v>
      </c>
      <c r="E25" s="55">
        <v>0</v>
      </c>
      <c r="F25" s="55">
        <v>0</v>
      </c>
      <c r="G25" s="55">
        <v>0</v>
      </c>
      <c r="H25" s="1" t="s">
        <v>116</v>
      </c>
    </row>
    <row r="26" spans="1:8" x14ac:dyDescent="0.25">
      <c r="A26" s="1" t="s">
        <v>24</v>
      </c>
      <c r="C26" s="55">
        <v>0</v>
      </c>
      <c r="D26" s="55">
        <v>0</v>
      </c>
      <c r="E26" s="55">
        <v>0</v>
      </c>
      <c r="F26" s="55">
        <v>0</v>
      </c>
      <c r="G26" s="55">
        <v>0</v>
      </c>
      <c r="H26" s="1" t="s">
        <v>116</v>
      </c>
    </row>
    <row r="27" spans="1:8" x14ac:dyDescent="0.25">
      <c r="A27" s="1" t="s">
        <v>31</v>
      </c>
      <c r="C27" s="122">
        <f>C15+C18+C20+C21+C22+C23+C24+C25+C26</f>
        <v>134.48682316418049</v>
      </c>
      <c r="D27" s="122">
        <f>D15+D18+D20+D21+D22+D23+D24+D25+D26</f>
        <v>196.94407931861525</v>
      </c>
      <c r="H27" s="1" t="s">
        <v>195</v>
      </c>
    </row>
    <row r="28" spans="1:8" x14ac:dyDescent="0.25">
      <c r="A28" s="1" t="s">
        <v>25</v>
      </c>
      <c r="E28" s="24">
        <f>SUM(E16,E19,E20,E21,E22,E23,E24,E25,E26)</f>
        <v>35.885531627702377</v>
      </c>
      <c r="F28" s="24">
        <f t="shared" ref="F28:G28" si="6">SUM(F16,F19,F20,F21,F22,F23,F24,F25,F26)</f>
        <v>43.089657155866249</v>
      </c>
      <c r="G28" s="122">
        <f t="shared" si="6"/>
        <v>37.875315018409125</v>
      </c>
    </row>
    <row r="29" spans="1:8" x14ac:dyDescent="0.25">
      <c r="A29" s="1" t="s">
        <v>126</v>
      </c>
      <c r="C29" s="122">
        <f>C15</f>
        <v>123.99149544268049</v>
      </c>
      <c r="D29" s="122">
        <f>D15</f>
        <v>175.95342387561524</v>
      </c>
      <c r="H29" s="1" t="s">
        <v>194</v>
      </c>
    </row>
    <row r="31" spans="1:8" x14ac:dyDescent="0.25">
      <c r="A31" s="51" t="s">
        <v>134</v>
      </c>
    </row>
    <row r="32" spans="1:8" x14ac:dyDescent="0.25">
      <c r="A32" s="1" t="s">
        <v>135</v>
      </c>
    </row>
  </sheetData>
  <mergeCells count="4">
    <mergeCell ref="C4:D4"/>
    <mergeCell ref="E4:G4"/>
    <mergeCell ref="C1:G1"/>
    <mergeCell ref="C2:G2"/>
  </mergeCell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3"/>
  <sheetViews>
    <sheetView zoomScale="80" zoomScaleNormal="80" workbookViewId="0"/>
  </sheetViews>
  <sheetFormatPr defaultRowHeight="15" x14ac:dyDescent="0.25"/>
  <cols>
    <col min="1" max="1" width="10.21875" style="30" bestFit="1" customWidth="1"/>
    <col min="2" max="2" width="43.88671875" style="30" bestFit="1" customWidth="1"/>
    <col min="3" max="3" width="9.77734375" style="30" bestFit="1" customWidth="1"/>
    <col min="4" max="4" width="7.88671875" style="30" bestFit="1" customWidth="1"/>
    <col min="5" max="5" width="8.88671875" style="30"/>
    <col min="6" max="6" width="10.21875" style="30" bestFit="1" customWidth="1"/>
    <col min="7" max="7" width="43.88671875" style="30" bestFit="1" customWidth="1"/>
    <col min="8" max="8" width="9.77734375" style="30" bestFit="1" customWidth="1"/>
    <col min="9" max="9" width="7.88671875" style="30" bestFit="1" customWidth="1"/>
    <col min="10" max="16384" width="8.88671875" style="30"/>
  </cols>
  <sheetData>
    <row r="2" spans="1:9" x14ac:dyDescent="0.25">
      <c r="A2" s="141" t="s">
        <v>136</v>
      </c>
      <c r="F2" s="142" t="s">
        <v>178</v>
      </c>
    </row>
    <row r="3" spans="1:9" x14ac:dyDescent="0.25">
      <c r="A3" s="130" t="s">
        <v>137</v>
      </c>
      <c r="B3" s="130" t="s">
        <v>138</v>
      </c>
      <c r="C3" s="130" t="s">
        <v>139</v>
      </c>
      <c r="D3" s="136" t="s">
        <v>140</v>
      </c>
      <c r="F3" s="130" t="s">
        <v>137</v>
      </c>
      <c r="G3" s="130" t="s">
        <v>138</v>
      </c>
      <c r="H3" s="130" t="s">
        <v>139</v>
      </c>
      <c r="I3" s="136" t="s">
        <v>140</v>
      </c>
    </row>
    <row r="4" spans="1:9" x14ac:dyDescent="0.25">
      <c r="A4" s="131" t="s">
        <v>141</v>
      </c>
      <c r="B4" s="131" t="s">
        <v>142</v>
      </c>
      <c r="C4" s="132">
        <v>0.26</v>
      </c>
      <c r="D4" s="144">
        <f>ROUND('KU Rate Summary'!G19-SUM(D6,D7),2)</f>
        <v>0.3</v>
      </c>
      <c r="F4" s="131" t="s">
        <v>177</v>
      </c>
      <c r="G4" s="131" t="s">
        <v>142</v>
      </c>
      <c r="H4" s="132">
        <v>0.02</v>
      </c>
      <c r="I4" s="144">
        <f>ROUND('LGE Rate Summary'!G19-SUM(I6,I7),2)</f>
        <v>0.28000000000000003</v>
      </c>
    </row>
    <row r="5" spans="1:9" x14ac:dyDescent="0.25">
      <c r="A5" s="131" t="s">
        <v>141</v>
      </c>
      <c r="B5" s="131" t="s">
        <v>143</v>
      </c>
      <c r="C5" s="132">
        <v>0.01</v>
      </c>
      <c r="D5" s="144">
        <f>ROUND('KU Rate Summary'!G22,2)</f>
        <v>0.01</v>
      </c>
      <c r="F5" s="131" t="s">
        <v>177</v>
      </c>
      <c r="G5" s="131" t="s">
        <v>143</v>
      </c>
      <c r="H5" s="132">
        <v>0.03</v>
      </c>
      <c r="I5" s="144">
        <f>ROUND('LGE Rate Summary'!G22,2)</f>
        <v>0.01</v>
      </c>
    </row>
    <row r="6" spans="1:9" x14ac:dyDescent="0.25">
      <c r="A6" s="131" t="s">
        <v>141</v>
      </c>
      <c r="B6" s="131" t="s">
        <v>144</v>
      </c>
      <c r="C6" s="132">
        <v>0.04</v>
      </c>
      <c r="D6" s="144">
        <f>ROUND(('2017 EV Usage Data'!$B$26*'ECR FAC TCJA'!$B$19)/365/'2017 EV Usage Data'!$B$15,2)</f>
        <v>0.06</v>
      </c>
      <c r="F6" s="131" t="s">
        <v>177</v>
      </c>
      <c r="G6" s="131" t="s">
        <v>144</v>
      </c>
      <c r="H6" s="132">
        <v>0.11</v>
      </c>
      <c r="I6" s="144">
        <f>ROUND(('2017 EV Usage Data'!$B$26*'ECR FAC TCJA'!$G$19)/365/'2017 EV Usage Data'!$B$15,2)</f>
        <v>0.06</v>
      </c>
    </row>
    <row r="7" spans="1:9" x14ac:dyDescent="0.25">
      <c r="A7" s="131" t="s">
        <v>141</v>
      </c>
      <c r="B7" s="131" t="s">
        <v>145</v>
      </c>
      <c r="C7" s="132">
        <v>0.12</v>
      </c>
      <c r="D7" s="144">
        <f>ROUND(('2017 EV Usage Data'!$B$26*'ECR FAC TCJA'!$B$17)/365/'2017 EV Usage Data'!$B$15,2)</f>
        <v>0.11</v>
      </c>
      <c r="F7" s="131" t="s">
        <v>177</v>
      </c>
      <c r="G7" s="131" t="s">
        <v>145</v>
      </c>
      <c r="H7" s="132">
        <v>0.26</v>
      </c>
      <c r="I7" s="144">
        <f>ROUND(('2017 EV Usage Data'!$B$26*'ECR FAC TCJA'!$G$17)/365/'2017 EV Usage Data'!$B$15,2)</f>
        <v>0.1</v>
      </c>
    </row>
    <row r="8" spans="1:9" x14ac:dyDescent="0.25">
      <c r="A8" s="131" t="s">
        <v>141</v>
      </c>
      <c r="B8" s="131" t="s">
        <v>146</v>
      </c>
      <c r="C8" s="132">
        <v>-0.02</v>
      </c>
      <c r="D8" s="144">
        <f>ROUND('KU Rate Summary'!G21,2)</f>
        <v>-0.01</v>
      </c>
      <c r="F8" s="131" t="s">
        <v>177</v>
      </c>
      <c r="G8" s="131" t="s">
        <v>146</v>
      </c>
      <c r="H8" s="132">
        <v>-0.01</v>
      </c>
      <c r="I8" s="144">
        <f>ROUND('LGE Rate Summary'!G21,2)</f>
        <v>-0.01</v>
      </c>
    </row>
    <row r="9" spans="1:9" x14ac:dyDescent="0.25">
      <c r="A9" s="131" t="s">
        <v>141</v>
      </c>
      <c r="B9" s="131" t="s">
        <v>147</v>
      </c>
      <c r="C9" s="132">
        <v>2.84</v>
      </c>
      <c r="D9" s="133">
        <v>0.75</v>
      </c>
      <c r="F9" s="131" t="s">
        <v>177</v>
      </c>
      <c r="G9" s="131" t="s">
        <v>147</v>
      </c>
      <c r="H9" s="132">
        <v>2.86</v>
      </c>
      <c r="I9" s="133">
        <v>0.75</v>
      </c>
    </row>
    <row r="10" spans="1:9" x14ac:dyDescent="0.25">
      <c r="A10" s="131" t="s">
        <v>141</v>
      </c>
      <c r="B10" s="131" t="s">
        <v>148</v>
      </c>
      <c r="C10" s="132">
        <v>2.4300000000000002</v>
      </c>
      <c r="D10" s="144">
        <f>ROUND(D9-SUM(D4:D8),2)</f>
        <v>0.28000000000000003</v>
      </c>
      <c r="F10" s="131" t="s">
        <v>177</v>
      </c>
      <c r="G10" s="131" t="s">
        <v>148</v>
      </c>
      <c r="H10" s="132">
        <v>2.4500000000000002</v>
      </c>
      <c r="I10" s="144">
        <f>ROUND(I9-SUM(I4:I8),2)</f>
        <v>0.31</v>
      </c>
    </row>
    <row r="11" spans="1:9" x14ac:dyDescent="0.25">
      <c r="A11" s="131" t="s">
        <v>141</v>
      </c>
      <c r="B11" s="131" t="s">
        <v>149</v>
      </c>
      <c r="C11" s="132">
        <v>0.26</v>
      </c>
      <c r="D11" s="144">
        <f>D4</f>
        <v>0.3</v>
      </c>
      <c r="F11" s="131" t="s">
        <v>177</v>
      </c>
      <c r="G11" s="131" t="s">
        <v>149</v>
      </c>
      <c r="H11" s="132">
        <v>0.02</v>
      </c>
      <c r="I11" s="144">
        <f>I4</f>
        <v>0.28000000000000003</v>
      </c>
    </row>
    <row r="12" spans="1:9" x14ac:dyDescent="0.25">
      <c r="A12" s="131" t="s">
        <v>141</v>
      </c>
      <c r="B12" s="131" t="s">
        <v>150</v>
      </c>
      <c r="C12" s="132">
        <v>0.01</v>
      </c>
      <c r="D12" s="144">
        <f>D5</f>
        <v>0.01</v>
      </c>
      <c r="F12" s="131" t="s">
        <v>177</v>
      </c>
      <c r="G12" s="131" t="s">
        <v>150</v>
      </c>
      <c r="H12" s="132">
        <v>0.03</v>
      </c>
      <c r="I12" s="144">
        <f>I5</f>
        <v>0.01</v>
      </c>
    </row>
    <row r="13" spans="1:9" x14ac:dyDescent="0.25">
      <c r="A13" s="131" t="s">
        <v>141</v>
      </c>
      <c r="B13" s="131" t="s">
        <v>151</v>
      </c>
      <c r="C13" s="132">
        <v>0.04</v>
      </c>
      <c r="D13" s="144">
        <f>D6</f>
        <v>0.06</v>
      </c>
      <c r="F13" s="131" t="s">
        <v>177</v>
      </c>
      <c r="G13" s="131" t="s">
        <v>151</v>
      </c>
      <c r="H13" s="132">
        <v>0.11</v>
      </c>
      <c r="I13" s="144">
        <f>I6</f>
        <v>0.06</v>
      </c>
    </row>
    <row r="14" spans="1:9" x14ac:dyDescent="0.25">
      <c r="A14" s="131" t="s">
        <v>141</v>
      </c>
      <c r="B14" s="131" t="s">
        <v>152</v>
      </c>
      <c r="C14" s="132">
        <v>0.12</v>
      </c>
      <c r="D14" s="144">
        <f>D7</f>
        <v>0.11</v>
      </c>
      <c r="F14" s="131" t="s">
        <v>177</v>
      </c>
      <c r="G14" s="131" t="s">
        <v>152</v>
      </c>
      <c r="H14" s="132">
        <v>0.26</v>
      </c>
      <c r="I14" s="144">
        <f>I7</f>
        <v>0.1</v>
      </c>
    </row>
    <row r="15" spans="1:9" x14ac:dyDescent="0.25">
      <c r="A15" s="131" t="s">
        <v>141</v>
      </c>
      <c r="B15" s="131" t="s">
        <v>153</v>
      </c>
      <c r="C15" s="132">
        <v>-0.02</v>
      </c>
      <c r="D15" s="144">
        <f>D8</f>
        <v>-0.01</v>
      </c>
      <c r="F15" s="131" t="s">
        <v>177</v>
      </c>
      <c r="G15" s="131" t="s">
        <v>153</v>
      </c>
      <c r="H15" s="132">
        <v>-0.01</v>
      </c>
      <c r="I15" s="144">
        <f>I8</f>
        <v>-0.01</v>
      </c>
    </row>
    <row r="16" spans="1:9" x14ac:dyDescent="0.25">
      <c r="A16" s="131" t="s">
        <v>141</v>
      </c>
      <c r="B16" s="131" t="s">
        <v>154</v>
      </c>
      <c r="C16" s="132">
        <v>2.84</v>
      </c>
      <c r="D16" s="133">
        <v>1</v>
      </c>
      <c r="F16" s="131" t="s">
        <v>177</v>
      </c>
      <c r="G16" s="131" t="s">
        <v>154</v>
      </c>
      <c r="H16" s="132">
        <v>2.86</v>
      </c>
      <c r="I16" s="133">
        <v>1</v>
      </c>
    </row>
    <row r="17" spans="1:9" x14ac:dyDescent="0.25">
      <c r="A17" s="131" t="s">
        <v>141</v>
      </c>
      <c r="B17" s="131" t="s">
        <v>155</v>
      </c>
      <c r="C17" s="132">
        <v>2.4300000000000002</v>
      </c>
      <c r="D17" s="144">
        <f>ROUND(D16-SUM(D11:D15),2)</f>
        <v>0.53</v>
      </c>
      <c r="F17" s="131" t="s">
        <v>177</v>
      </c>
      <c r="G17" s="131" t="s">
        <v>155</v>
      </c>
      <c r="H17" s="132">
        <v>2.4500000000000002</v>
      </c>
      <c r="I17" s="144">
        <f>ROUND(I16-SUM(I11:I15),2)</f>
        <v>0.56000000000000005</v>
      </c>
    </row>
    <row r="19" spans="1:9" x14ac:dyDescent="0.25">
      <c r="A19" s="141" t="s">
        <v>156</v>
      </c>
      <c r="F19" s="142" t="s">
        <v>190</v>
      </c>
    </row>
    <row r="20" spans="1:9" x14ac:dyDescent="0.25">
      <c r="A20" s="134" t="s">
        <v>137</v>
      </c>
      <c r="B20" s="130" t="s">
        <v>138</v>
      </c>
      <c r="C20" s="135" t="s">
        <v>139</v>
      </c>
      <c r="D20" s="136" t="s">
        <v>140</v>
      </c>
      <c r="F20" s="134" t="s">
        <v>137</v>
      </c>
      <c r="G20" s="130" t="s">
        <v>138</v>
      </c>
      <c r="H20" s="135" t="s">
        <v>139</v>
      </c>
      <c r="I20" s="136" t="s">
        <v>140</v>
      </c>
    </row>
    <row r="21" spans="1:9" x14ac:dyDescent="0.25">
      <c r="A21" s="137" t="s">
        <v>157</v>
      </c>
      <c r="B21" s="131" t="s">
        <v>158</v>
      </c>
      <c r="C21" s="132">
        <v>9.98</v>
      </c>
      <c r="D21" s="138">
        <f>ROUND(D22*2,2)</f>
        <v>2.5</v>
      </c>
      <c r="F21" s="137" t="s">
        <v>179</v>
      </c>
      <c r="G21" s="131" t="s">
        <v>158</v>
      </c>
      <c r="H21" s="132">
        <v>8.48</v>
      </c>
      <c r="I21" s="138">
        <f>ROUND(I22*2,2)</f>
        <v>2.8</v>
      </c>
    </row>
    <row r="22" spans="1:9" x14ac:dyDescent="0.25">
      <c r="A22" s="137" t="s">
        <v>159</v>
      </c>
      <c r="B22" s="131" t="s">
        <v>160</v>
      </c>
      <c r="C22" s="132">
        <v>4.99</v>
      </c>
      <c r="D22" s="138">
        <f>ROUND(('2017 EV Usage Data'!$C$26*'ECR FAC TCJA'!$B$19)/12,2)</f>
        <v>1.25</v>
      </c>
      <c r="F22" s="137" t="s">
        <v>184</v>
      </c>
      <c r="G22" s="131" t="s">
        <v>160</v>
      </c>
      <c r="H22" s="132">
        <v>4.24</v>
      </c>
      <c r="I22" s="138">
        <f>ROUND(('2017 EV Usage Data'!$C$26*'ECR FAC TCJA'!$G$19)/12,2)</f>
        <v>1.4</v>
      </c>
    </row>
    <row r="23" spans="1:9" x14ac:dyDescent="0.25">
      <c r="A23" s="137" t="s">
        <v>161</v>
      </c>
      <c r="B23" s="131" t="s">
        <v>162</v>
      </c>
      <c r="C23" s="132">
        <v>28.21</v>
      </c>
      <c r="D23" s="138">
        <f>ROUND(D24*2,2)</f>
        <v>4.82</v>
      </c>
      <c r="F23" s="137" t="s">
        <v>180</v>
      </c>
      <c r="G23" s="131" t="s">
        <v>162</v>
      </c>
      <c r="H23" s="132">
        <v>26.58</v>
      </c>
      <c r="I23" s="138">
        <f>ROUND(I24*2,2)</f>
        <v>4.4800000000000004</v>
      </c>
    </row>
    <row r="24" spans="1:9" x14ac:dyDescent="0.25">
      <c r="A24" s="137" t="s">
        <v>163</v>
      </c>
      <c r="B24" s="131" t="s">
        <v>164</v>
      </c>
      <c r="C24" s="132">
        <v>14.1</v>
      </c>
      <c r="D24" s="138">
        <f>ROUND(('2017 EV Usage Data'!$C$26*'ECR FAC TCJA'!$B$17)/12,2)</f>
        <v>2.41</v>
      </c>
      <c r="F24" s="137" t="s">
        <v>185</v>
      </c>
      <c r="G24" s="131" t="s">
        <v>186</v>
      </c>
      <c r="H24" s="132">
        <v>13.29</v>
      </c>
      <c r="I24" s="138">
        <f>ROUND(('2017 EV Usage Data'!$C$26*'ECR FAC TCJA'!$G$17)/12,2)</f>
        <v>2.2400000000000002</v>
      </c>
    </row>
    <row r="25" spans="1:9" x14ac:dyDescent="0.25">
      <c r="A25" s="137" t="s">
        <v>165</v>
      </c>
      <c r="B25" s="131" t="s">
        <v>166</v>
      </c>
      <c r="C25" s="132">
        <v>63.6</v>
      </c>
      <c r="D25" s="138">
        <f>ROUND(D29-SUM(D27,D23,D21),2)</f>
        <v>13.67</v>
      </c>
      <c r="F25" s="137" t="s">
        <v>181</v>
      </c>
      <c r="G25" s="131" t="s">
        <v>166</v>
      </c>
      <c r="H25" s="132">
        <v>61.92</v>
      </c>
      <c r="I25" s="138">
        <f>ROUND(I29-SUM(I27,I23,I21),2)</f>
        <v>12.34</v>
      </c>
    </row>
    <row r="26" spans="1:9" x14ac:dyDescent="0.25">
      <c r="A26" s="137" t="s">
        <v>167</v>
      </c>
      <c r="B26" s="131" t="s">
        <v>168</v>
      </c>
      <c r="C26" s="132">
        <v>31.81</v>
      </c>
      <c r="D26" s="138">
        <f>ROUND(D30-SUM(D28,D24,D22),2)</f>
        <v>6.84</v>
      </c>
      <c r="F26" s="137" t="s">
        <v>187</v>
      </c>
      <c r="G26" s="131" t="s">
        <v>168</v>
      </c>
      <c r="H26" s="132">
        <v>30.97</v>
      </c>
      <c r="I26" s="138">
        <f>ROUND(I30-SUM(I28,I24,I22),2)</f>
        <v>6.18</v>
      </c>
    </row>
    <row r="27" spans="1:9" x14ac:dyDescent="0.25">
      <c r="A27" s="137" t="s">
        <v>169</v>
      </c>
      <c r="B27" s="131" t="s">
        <v>170</v>
      </c>
      <c r="C27" s="132">
        <v>204.31</v>
      </c>
      <c r="D27" s="138">
        <f>ROUND('KU Rate Summary'!D15,2)</f>
        <v>175.95</v>
      </c>
      <c r="F27" s="137" t="s">
        <v>182</v>
      </c>
      <c r="G27" s="131" t="s">
        <v>170</v>
      </c>
      <c r="H27" s="132">
        <v>205.15</v>
      </c>
      <c r="I27" s="138">
        <f>ROUND('LGE Rate Summary'!D15,2)</f>
        <v>177.49</v>
      </c>
    </row>
    <row r="28" spans="1:9" x14ac:dyDescent="0.25">
      <c r="A28" s="137" t="s">
        <v>171</v>
      </c>
      <c r="B28" s="131" t="s">
        <v>172</v>
      </c>
      <c r="C28" s="132">
        <v>131.41</v>
      </c>
      <c r="D28" s="138">
        <f>ROUND('KU Rate Summary'!C15,2)</f>
        <v>123.99</v>
      </c>
      <c r="F28" s="137" t="s">
        <v>188</v>
      </c>
      <c r="G28" s="131" t="s">
        <v>172</v>
      </c>
      <c r="H28" s="132">
        <v>132</v>
      </c>
      <c r="I28" s="139">
        <f>ROUND('LGE Rate Summary'!C15,2)</f>
        <v>125.14</v>
      </c>
    </row>
    <row r="29" spans="1:9" x14ac:dyDescent="0.25">
      <c r="A29" s="137" t="s">
        <v>173</v>
      </c>
      <c r="B29" s="131" t="s">
        <v>174</v>
      </c>
      <c r="C29" s="132">
        <v>306.10000000000002</v>
      </c>
      <c r="D29" s="132">
        <f>ROUND('KU Rate Summary'!D27,2)</f>
        <v>196.94</v>
      </c>
      <c r="F29" s="137" t="s">
        <v>183</v>
      </c>
      <c r="G29" s="131" t="s">
        <v>174</v>
      </c>
      <c r="H29" s="140">
        <v>302.13</v>
      </c>
      <c r="I29" s="140">
        <f>ROUND('LGE Rate Summary'!D27,2)</f>
        <v>197.11</v>
      </c>
    </row>
    <row r="30" spans="1:9" x14ac:dyDescent="0.25">
      <c r="A30" s="137" t="s">
        <v>175</v>
      </c>
      <c r="B30" s="131" t="s">
        <v>176</v>
      </c>
      <c r="C30" s="132">
        <v>182.31</v>
      </c>
      <c r="D30" s="132">
        <f>ROUND('KU Rate Summary'!C27,2)</f>
        <v>134.49</v>
      </c>
      <c r="F30" s="137" t="s">
        <v>189</v>
      </c>
      <c r="G30" s="131" t="s">
        <v>176</v>
      </c>
      <c r="H30" s="132">
        <v>180.5</v>
      </c>
      <c r="I30" s="132">
        <f>ROUND('LGE Rate Summary'!C27,2)</f>
        <v>134.96</v>
      </c>
    </row>
    <row r="32" spans="1:9" x14ac:dyDescent="0.25">
      <c r="C32" s="30" t="s">
        <v>192</v>
      </c>
      <c r="D32" s="143">
        <f>D29-SUM(D27,D25,D23,D21)</f>
        <v>0</v>
      </c>
      <c r="H32" s="30" t="s">
        <v>192</v>
      </c>
      <c r="I32" s="143">
        <f>I29-SUM(I27,I25,I23,I21)</f>
        <v>0</v>
      </c>
    </row>
    <row r="33" spans="3:9" x14ac:dyDescent="0.25">
      <c r="C33" s="30" t="s">
        <v>192</v>
      </c>
      <c r="D33" s="143">
        <f>D30-SUM(D28,D26,D24,D22)</f>
        <v>0</v>
      </c>
      <c r="H33" s="30" t="s">
        <v>192</v>
      </c>
      <c r="I33" s="143">
        <f>I30-SUM(I28,I26,I24,I22)</f>
        <v>0</v>
      </c>
    </row>
  </sheetData>
  <sortState ref="F21:I30">
    <sortCondition ref="G21:G3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80" zoomScaleNormal="80" workbookViewId="0"/>
  </sheetViews>
  <sheetFormatPr defaultRowHeight="15.75" x14ac:dyDescent="0.25"/>
  <cols>
    <col min="1" max="1" width="8.88671875" style="1"/>
    <col min="2" max="2" width="9.33203125" style="1" bestFit="1" customWidth="1"/>
    <col min="3" max="4" width="8.88671875" style="1"/>
    <col min="5" max="5" width="13.88671875" style="1" bestFit="1" customWidth="1"/>
    <col min="6" max="6" width="8.88671875" style="1"/>
    <col min="7" max="7" width="9.33203125" style="1" bestFit="1" customWidth="1"/>
    <col min="8" max="9" width="8.88671875" style="1"/>
    <col min="10" max="10" width="13.88671875" style="1" bestFit="1" customWidth="1"/>
    <col min="11" max="16384" width="8.88671875" style="1"/>
  </cols>
  <sheetData>
    <row r="1" spans="1:9" ht="21" x14ac:dyDescent="0.35">
      <c r="A1" s="67" t="s">
        <v>22</v>
      </c>
      <c r="F1" s="79" t="s">
        <v>75</v>
      </c>
    </row>
    <row r="2" spans="1:9" x14ac:dyDescent="0.25">
      <c r="B2" s="23" t="s">
        <v>85</v>
      </c>
      <c r="C2" s="23" t="s">
        <v>88</v>
      </c>
      <c r="D2" s="23" t="s">
        <v>89</v>
      </c>
      <c r="G2" s="23" t="s">
        <v>85</v>
      </c>
      <c r="H2" s="23" t="s">
        <v>88</v>
      </c>
      <c r="I2" s="23" t="s">
        <v>89</v>
      </c>
    </row>
    <row r="3" spans="1:9" x14ac:dyDescent="0.25">
      <c r="A3" s="87">
        <v>43344</v>
      </c>
      <c r="B3" s="88">
        <v>-3.0300000000000001E-3</v>
      </c>
      <c r="C3" s="93">
        <v>-1.3299999999999999E-2</v>
      </c>
      <c r="D3" s="88">
        <v>-3.2299999999999998E-3</v>
      </c>
      <c r="F3" s="87">
        <v>43344</v>
      </c>
      <c r="G3" s="88">
        <v>-6.9999999999999999E-4</v>
      </c>
      <c r="H3" s="93">
        <v>-5.0799999999999998E-2</v>
      </c>
      <c r="I3" s="88">
        <v>-3.4399999999999999E-3</v>
      </c>
    </row>
    <row r="4" spans="1:9" x14ac:dyDescent="0.25">
      <c r="A4" s="86">
        <f>IF(MONTH(A3)=1,DATE(YEAR(A3)-1,12,1),DATE(YEAR(A3),MONTH(A3)-1,1))</f>
        <v>43313</v>
      </c>
      <c r="B4" s="88">
        <v>-1.9599999999999999E-3</v>
      </c>
      <c r="C4" s="93">
        <v>-1.0500000000000001E-2</v>
      </c>
      <c r="D4" s="88">
        <v>-3.2299999999999998E-3</v>
      </c>
      <c r="F4" s="86">
        <f>IF(MONTH(F3)=1,DATE(YEAR(F3)-1,12,1),DATE(YEAR(F3),MONTH(F3)-1,1))</f>
        <v>43313</v>
      </c>
      <c r="G4" s="88">
        <v>-9.3000000000000005E-4</v>
      </c>
      <c r="H4" s="93">
        <v>-3.7900000000000003E-2</v>
      </c>
      <c r="I4" s="88">
        <v>-3.4399999999999999E-3</v>
      </c>
    </row>
    <row r="5" spans="1:9" x14ac:dyDescent="0.25">
      <c r="A5" s="86">
        <f t="shared" ref="A5:A14" si="0">IF(MONTH(A4)=1,DATE(YEAR(A4)-1,12,1),DATE(YEAR(A4),MONTH(A4)-1,1))</f>
        <v>43282</v>
      </c>
      <c r="B5" s="88">
        <v>-2.15E-3</v>
      </c>
      <c r="C5" s="93">
        <v>9.1000000000000004E-3</v>
      </c>
      <c r="D5" s="88">
        <v>-3.2299999999999998E-3</v>
      </c>
      <c r="F5" s="86">
        <f t="shared" ref="F5:F12" si="1">IF(MONTH(F4)=1,DATE(YEAR(F4)-1,12,1),DATE(YEAR(F4),MONTH(F4)-1,1))</f>
        <v>43282</v>
      </c>
      <c r="G5" s="88">
        <v>-6.2E-4</v>
      </c>
      <c r="H5" s="93">
        <v>3.3E-3</v>
      </c>
      <c r="I5" s="88">
        <v>-3.4399999999999999E-3</v>
      </c>
    </row>
    <row r="6" spans="1:9" x14ac:dyDescent="0.25">
      <c r="A6" s="86">
        <f t="shared" si="0"/>
        <v>43252</v>
      </c>
      <c r="B6" s="88">
        <v>-1.8799999999999999E-3</v>
      </c>
      <c r="C6" s="93">
        <v>-2.5000000000000001E-3</v>
      </c>
      <c r="D6" s="88">
        <v>-3.2299999999999998E-3</v>
      </c>
      <c r="F6" s="86">
        <f t="shared" si="1"/>
        <v>43252</v>
      </c>
      <c r="G6" s="88">
        <v>-5.8E-4</v>
      </c>
      <c r="H6" s="93">
        <v>2.8899999999999999E-2</v>
      </c>
      <c r="I6" s="88">
        <v>-3.4399999999999999E-3</v>
      </c>
    </row>
    <row r="7" spans="1:9" x14ac:dyDescent="0.25">
      <c r="A7" s="86">
        <f t="shared" si="0"/>
        <v>43221</v>
      </c>
      <c r="B7" s="88">
        <v>-9.7000000000000005E-4</v>
      </c>
      <c r="C7" s="93">
        <v>-3.0999999999999999E-3</v>
      </c>
      <c r="D7" s="88">
        <v>-3.2299999999999998E-3</v>
      </c>
      <c r="F7" s="86">
        <f t="shared" si="1"/>
        <v>43221</v>
      </c>
      <c r="G7" s="88">
        <v>-2.33E-3</v>
      </c>
      <c r="H7" s="93">
        <v>2.9399999999999999E-2</v>
      </c>
      <c r="I7" s="88">
        <v>-3.4399999999999999E-3</v>
      </c>
    </row>
    <row r="8" spans="1:9" x14ac:dyDescent="0.25">
      <c r="A8" s="86">
        <f t="shared" si="0"/>
        <v>43191</v>
      </c>
      <c r="B8" s="88">
        <v>-1.4400000000000001E-3</v>
      </c>
      <c r="C8" s="93">
        <v>-2.2800000000000001E-2</v>
      </c>
      <c r="D8" s="88">
        <v>-3.2299999999999998E-3</v>
      </c>
      <c r="F8" s="86">
        <f t="shared" si="1"/>
        <v>43191</v>
      </c>
      <c r="G8" s="88">
        <v>1.31E-3</v>
      </c>
      <c r="H8" s="93">
        <v>2.5499999999999998E-2</v>
      </c>
      <c r="I8" s="88">
        <v>-3.4399999999999999E-3</v>
      </c>
    </row>
    <row r="9" spans="1:9" x14ac:dyDescent="0.25">
      <c r="A9" s="86">
        <f t="shared" si="0"/>
        <v>43160</v>
      </c>
      <c r="B9" s="88">
        <v>1.57E-3</v>
      </c>
      <c r="C9" s="93">
        <v>-5.1000000000000004E-3</v>
      </c>
      <c r="F9" s="86">
        <f t="shared" si="1"/>
        <v>43160</v>
      </c>
      <c r="G9" s="88">
        <v>-5.8700000000000002E-3</v>
      </c>
      <c r="H9" s="93">
        <v>4.5400000000000003E-2</v>
      </c>
    </row>
    <row r="10" spans="1:9" x14ac:dyDescent="0.25">
      <c r="A10" s="86">
        <f t="shared" si="0"/>
        <v>43132</v>
      </c>
      <c r="B10" s="88">
        <v>-1.57E-3</v>
      </c>
      <c r="C10" s="93">
        <v>5.7000000000000002E-2</v>
      </c>
      <c r="F10" s="86">
        <f t="shared" si="1"/>
        <v>43132</v>
      </c>
      <c r="G10" s="88">
        <v>-7.6000000000000004E-4</v>
      </c>
      <c r="H10" s="93">
        <v>0.1111</v>
      </c>
    </row>
    <row r="11" spans="1:9" x14ac:dyDescent="0.25">
      <c r="A11" s="86">
        <f t="shared" si="0"/>
        <v>43101</v>
      </c>
      <c r="B11" s="88">
        <v>-1.15E-3</v>
      </c>
      <c r="C11" s="93">
        <v>5.8999999999999997E-2</v>
      </c>
      <c r="F11" s="86">
        <f t="shared" si="1"/>
        <v>43101</v>
      </c>
      <c r="G11" s="88">
        <v>1.9000000000000001E-4</v>
      </c>
      <c r="H11" s="93">
        <v>0.1217</v>
      </c>
    </row>
    <row r="12" spans="1:9" x14ac:dyDescent="0.25">
      <c r="A12" s="86">
        <f t="shared" si="0"/>
        <v>43070</v>
      </c>
      <c r="B12" s="88">
        <v>-2.4199999999999998E-3</v>
      </c>
      <c r="C12" s="93">
        <v>5.2699999999999997E-2</v>
      </c>
      <c r="F12" s="86">
        <f t="shared" si="1"/>
        <v>43070</v>
      </c>
      <c r="G12" s="88">
        <v>-1.07E-3</v>
      </c>
      <c r="H12" s="93">
        <v>9.1899999999999996E-2</v>
      </c>
    </row>
    <row r="13" spans="1:9" x14ac:dyDescent="0.25">
      <c r="A13" s="86">
        <f>IF(MONTH(A12)=1,DATE(YEAR(A12)-1,12,1),DATE(YEAR(A12),MONTH(A12)-1,1))</f>
        <v>43040</v>
      </c>
      <c r="B13" s="88">
        <v>-3.0899999999999999E-3</v>
      </c>
      <c r="C13" s="93">
        <v>4.7699999999999999E-2</v>
      </c>
      <c r="F13" s="86">
        <f>IF(MONTH(F12)=1,DATE(YEAR(F12)-1,12,1),DATE(YEAR(F12),MONTH(F12)-1,1))</f>
        <v>43040</v>
      </c>
      <c r="G13" s="88">
        <v>-6.8999999999999997E-4</v>
      </c>
      <c r="H13" s="93">
        <v>9.06E-2</v>
      </c>
    </row>
    <row r="14" spans="1:9" x14ac:dyDescent="0.25">
      <c r="A14" s="86">
        <f t="shared" si="0"/>
        <v>43009</v>
      </c>
      <c r="B14" s="90">
        <v>-4.7400000000000003E-3</v>
      </c>
      <c r="C14" s="94">
        <v>3.6299999999999999E-2</v>
      </c>
      <c r="D14" s="61"/>
      <c r="F14" s="86">
        <f t="shared" ref="F14" si="2">IF(MONTH(F13)=1,DATE(YEAR(F13)-1,12,1),DATE(YEAR(F13),MONTH(F13)-1,1))</f>
        <v>43009</v>
      </c>
      <c r="G14" s="90">
        <v>-3.5699999999999998E-3</v>
      </c>
      <c r="H14" s="94">
        <v>7.5200000000000003E-2</v>
      </c>
      <c r="I14" s="61"/>
    </row>
    <row r="15" spans="1:9" x14ac:dyDescent="0.25">
      <c r="A15" s="92" t="s">
        <v>27</v>
      </c>
      <c r="B15" s="91">
        <f>AVERAGE(B3:B14)</f>
        <v>-1.9025000000000003E-3</v>
      </c>
      <c r="C15" s="82">
        <f>AVERAGE(C3:C14)</f>
        <v>1.7041666666666667E-2</v>
      </c>
      <c r="D15" s="91">
        <f>AVERAGE(D3:D14)</f>
        <v>-3.2299999999999998E-3</v>
      </c>
      <c r="F15" s="92" t="s">
        <v>27</v>
      </c>
      <c r="G15" s="91">
        <f>AVERAGE(G3:G14)</f>
        <v>-1.3016666666666667E-3</v>
      </c>
      <c r="H15" s="82">
        <f>AVERAGE(H3:H14)</f>
        <v>4.4525000000000002E-2</v>
      </c>
      <c r="I15" s="91">
        <f>AVERAGE(I3:I14)</f>
        <v>-3.4399999999999999E-3</v>
      </c>
    </row>
    <row r="16" spans="1:9" x14ac:dyDescent="0.25">
      <c r="A16" s="86"/>
      <c r="F16" s="86"/>
    </row>
    <row r="17" spans="1:10" x14ac:dyDescent="0.25">
      <c r="B17" s="89">
        <v>2.6089999999999999E-2</v>
      </c>
      <c r="C17" s="1" t="s">
        <v>86</v>
      </c>
      <c r="G17" s="89">
        <v>2.4279999999999999E-2</v>
      </c>
      <c r="H17" s="1" t="s">
        <v>86</v>
      </c>
    </row>
    <row r="19" spans="1:10" x14ac:dyDescent="0.25">
      <c r="B19" s="89">
        <v>1.359E-2</v>
      </c>
      <c r="C19" s="1" t="s">
        <v>191</v>
      </c>
      <c r="G19" s="89">
        <v>1.519E-2</v>
      </c>
      <c r="H19" s="1" t="s">
        <v>191</v>
      </c>
    </row>
    <row r="21" spans="1:10" x14ac:dyDescent="0.25">
      <c r="B21" s="115">
        <f>'2017 EV Usage Data'!$B$18</f>
        <v>4.01</v>
      </c>
      <c r="C21" s="1" t="s">
        <v>87</v>
      </c>
      <c r="G21" s="115">
        <f>'2017 EV Usage Data'!$B$18</f>
        <v>4.01</v>
      </c>
      <c r="H21" s="1" t="s">
        <v>87</v>
      </c>
    </row>
    <row r="23" spans="1:10" x14ac:dyDescent="0.25">
      <c r="B23" s="128">
        <v>0.11379</v>
      </c>
      <c r="C23" s="129" t="s">
        <v>91</v>
      </c>
      <c r="D23" s="129"/>
      <c r="E23" s="129"/>
      <c r="F23" s="129"/>
      <c r="G23" s="128">
        <v>0.10637000000000001</v>
      </c>
      <c r="H23" s="1" t="s">
        <v>91</v>
      </c>
    </row>
    <row r="25" spans="1:10" x14ac:dyDescent="0.25">
      <c r="B25" s="23" t="s">
        <v>85</v>
      </c>
      <c r="C25" s="23" t="s">
        <v>88</v>
      </c>
      <c r="D25" s="23" t="s">
        <v>89</v>
      </c>
      <c r="G25" s="23" t="s">
        <v>85</v>
      </c>
      <c r="H25" s="23" t="s">
        <v>88</v>
      </c>
      <c r="I25" s="23" t="s">
        <v>89</v>
      </c>
    </row>
    <row r="26" spans="1:10" x14ac:dyDescent="0.25">
      <c r="A26" s="96" t="s">
        <v>22</v>
      </c>
      <c r="B26" s="91">
        <f>B15*B21</f>
        <v>-7.6290250000000011E-3</v>
      </c>
      <c r="C26" s="91">
        <f>(B21*(B23-B17))*C15</f>
        <v>5.993162208333333E-3</v>
      </c>
      <c r="D26" s="126">
        <v>0</v>
      </c>
      <c r="E26" s="1" t="s">
        <v>90</v>
      </c>
      <c r="F26" s="95" t="s">
        <v>75</v>
      </c>
      <c r="G26" s="91">
        <f>G15*G21</f>
        <v>-5.2196833333333333E-3</v>
      </c>
      <c r="H26" s="91">
        <f>(G21*(G23-G17))*H15</f>
        <v>1.4656779572500001E-2</v>
      </c>
      <c r="I26" s="126">
        <v>0</v>
      </c>
      <c r="J26" s="1" t="s">
        <v>90</v>
      </c>
    </row>
    <row r="28" spans="1:10" x14ac:dyDescent="0.25">
      <c r="B28" s="24"/>
      <c r="C28" s="24"/>
      <c r="D28" s="24"/>
      <c r="G28" s="24"/>
      <c r="H28" s="24"/>
      <c r="I28" s="24"/>
    </row>
    <row r="31" spans="1:10" x14ac:dyDescent="0.25">
      <c r="A31" s="127"/>
      <c r="F31" s="127"/>
    </row>
    <row r="32" spans="1:10" x14ac:dyDescent="0.25">
      <c r="A32" s="127"/>
      <c r="F32" s="127"/>
    </row>
    <row r="33" spans="1:6" x14ac:dyDescent="0.25">
      <c r="A33" s="127"/>
      <c r="F33" s="127"/>
    </row>
    <row r="34" spans="1:6" x14ac:dyDescent="0.25">
      <c r="A34" s="127"/>
      <c r="F34" s="127"/>
    </row>
    <row r="35" spans="1:6" x14ac:dyDescent="0.25">
      <c r="A35" s="127"/>
      <c r="F35" s="127"/>
    </row>
    <row r="36" spans="1:6" x14ac:dyDescent="0.25">
      <c r="A36" s="127"/>
      <c r="F36" s="127"/>
    </row>
    <row r="37" spans="1:6" x14ac:dyDescent="0.25">
      <c r="A37" s="127"/>
      <c r="F37" s="127"/>
    </row>
    <row r="38" spans="1:6" x14ac:dyDescent="0.25">
      <c r="A38" s="127"/>
      <c r="F38" s="127"/>
    </row>
    <row r="39" spans="1:6" x14ac:dyDescent="0.25">
      <c r="A39" s="127"/>
      <c r="F39" s="127"/>
    </row>
    <row r="40" spans="1:6" x14ac:dyDescent="0.25">
      <c r="A40" s="127"/>
      <c r="F40" s="127"/>
    </row>
    <row r="41" spans="1:6" x14ac:dyDescent="0.25">
      <c r="A41" s="127"/>
      <c r="F41" s="127"/>
    </row>
    <row r="42" spans="1:6" x14ac:dyDescent="0.25">
      <c r="A42" s="127"/>
      <c r="F42" s="12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80" zoomScaleNormal="80" workbookViewId="0"/>
  </sheetViews>
  <sheetFormatPr defaultRowHeight="15.75" x14ac:dyDescent="0.25"/>
  <cols>
    <col min="1" max="1" width="12.88671875" style="1" customWidth="1"/>
    <col min="2" max="2" width="11.6640625" style="1" bestFit="1" customWidth="1"/>
    <col min="3" max="8" width="8.88671875" style="1"/>
    <col min="9" max="9" width="13.6640625" style="1" customWidth="1"/>
    <col min="10" max="10" width="11.6640625" style="1" bestFit="1" customWidth="1"/>
    <col min="11" max="16384" width="8.88671875" style="1"/>
  </cols>
  <sheetData>
    <row r="1" spans="1:14" ht="21" x14ac:dyDescent="0.35">
      <c r="A1" s="66" t="s">
        <v>0</v>
      </c>
    </row>
    <row r="2" spans="1:14" x14ac:dyDescent="0.25">
      <c r="A2" s="52"/>
    </row>
    <row r="3" spans="1:14" ht="21" x14ac:dyDescent="0.35">
      <c r="A3" s="67" t="s">
        <v>22</v>
      </c>
      <c r="I3" s="79" t="s">
        <v>75</v>
      </c>
    </row>
    <row r="4" spans="1:14" x14ac:dyDescent="0.25">
      <c r="A4" s="1" t="s">
        <v>133</v>
      </c>
      <c r="I4" s="1" t="s">
        <v>133</v>
      </c>
    </row>
    <row r="5" spans="1:14" x14ac:dyDescent="0.25">
      <c r="A5" s="68"/>
      <c r="B5" s="32" t="s">
        <v>1</v>
      </c>
      <c r="C5" s="33" t="s">
        <v>7</v>
      </c>
      <c r="D5" s="69" t="s">
        <v>7</v>
      </c>
      <c r="E5" s="34" t="s">
        <v>9</v>
      </c>
      <c r="F5" s="30"/>
      <c r="I5" s="68"/>
      <c r="J5" s="32" t="s">
        <v>1</v>
      </c>
      <c r="K5" s="33" t="s">
        <v>7</v>
      </c>
      <c r="L5" s="69" t="s">
        <v>7</v>
      </c>
      <c r="M5" s="34" t="s">
        <v>9</v>
      </c>
      <c r="N5" s="30"/>
    </row>
    <row r="6" spans="1:14" x14ac:dyDescent="0.25">
      <c r="A6" s="70"/>
      <c r="B6" s="36" t="s">
        <v>74</v>
      </c>
      <c r="C6" s="36" t="s">
        <v>6</v>
      </c>
      <c r="D6" s="71" t="s">
        <v>10</v>
      </c>
      <c r="E6" s="77" t="s">
        <v>10</v>
      </c>
      <c r="F6" s="30"/>
      <c r="I6" s="70"/>
      <c r="J6" s="36" t="s">
        <v>74</v>
      </c>
      <c r="K6" s="36" t="s">
        <v>6</v>
      </c>
      <c r="L6" s="71" t="s">
        <v>10</v>
      </c>
      <c r="M6" s="77" t="s">
        <v>10</v>
      </c>
      <c r="N6" s="30"/>
    </row>
    <row r="7" spans="1:14" x14ac:dyDescent="0.25">
      <c r="A7" s="31" t="s">
        <v>73</v>
      </c>
      <c r="B7" s="72">
        <v>0.52839999999999998</v>
      </c>
      <c r="C7" s="75">
        <v>0.1042</v>
      </c>
      <c r="D7" s="38"/>
      <c r="E7" s="78">
        <f>B7*C7</f>
        <v>5.5059279999999995E-2</v>
      </c>
      <c r="F7" s="30"/>
      <c r="I7" s="31" t="s">
        <v>73</v>
      </c>
      <c r="J7" s="72">
        <v>0.52839999999999998</v>
      </c>
      <c r="K7" s="75">
        <v>0.1042</v>
      </c>
      <c r="L7" s="38"/>
      <c r="M7" s="78">
        <f>J7*K7</f>
        <v>5.5059279999999995E-2</v>
      </c>
      <c r="N7" s="30"/>
    </row>
    <row r="8" spans="1:14" x14ac:dyDescent="0.25">
      <c r="A8" s="31" t="s">
        <v>11</v>
      </c>
      <c r="B8" s="72">
        <v>1.2500000000000001E-2</v>
      </c>
      <c r="C8" s="37"/>
      <c r="D8" s="74">
        <v>3.2300000000000002E-2</v>
      </c>
      <c r="E8" s="39">
        <f>B8*D8</f>
        <v>4.0375000000000003E-4</v>
      </c>
      <c r="F8" s="30"/>
      <c r="I8" s="31" t="s">
        <v>11</v>
      </c>
      <c r="J8" s="72">
        <v>1.89E-2</v>
      </c>
      <c r="K8" s="37"/>
      <c r="L8" s="74">
        <v>3.2500000000000001E-2</v>
      </c>
      <c r="M8" s="39">
        <f>J8*L8</f>
        <v>6.1425E-4</v>
      </c>
      <c r="N8" s="30"/>
    </row>
    <row r="9" spans="1:14" x14ac:dyDescent="0.25">
      <c r="A9" s="35" t="s">
        <v>12</v>
      </c>
      <c r="B9" s="73">
        <v>0.45910000000000001</v>
      </c>
      <c r="C9" s="42"/>
      <c r="D9" s="76">
        <v>4.3799999999999999E-2</v>
      </c>
      <c r="E9" s="41">
        <f>B9*D9</f>
        <v>2.0108580000000001E-2</v>
      </c>
      <c r="F9" s="30"/>
      <c r="I9" s="35" t="s">
        <v>12</v>
      </c>
      <c r="J9" s="73">
        <v>0.45269999999999999</v>
      </c>
      <c r="K9" s="42"/>
      <c r="L9" s="76">
        <v>4.53E-2</v>
      </c>
      <c r="M9" s="41">
        <f>J9*L9</f>
        <v>2.0507310000000001E-2</v>
      </c>
      <c r="N9" s="30"/>
    </row>
    <row r="10" spans="1:14" x14ac:dyDescent="0.25">
      <c r="A10" s="31" t="s">
        <v>13</v>
      </c>
      <c r="B10" s="37">
        <f>SUM(B8:B9)</f>
        <v>0.47160000000000002</v>
      </c>
      <c r="C10" s="43"/>
      <c r="D10" s="44"/>
      <c r="E10" s="45"/>
      <c r="F10" s="30"/>
      <c r="I10" s="31" t="s">
        <v>13</v>
      </c>
      <c r="J10" s="37">
        <f>SUM(J8:J9)</f>
        <v>0.47160000000000002</v>
      </c>
      <c r="K10" s="43"/>
      <c r="L10" s="44"/>
      <c r="M10" s="45"/>
      <c r="N10" s="30"/>
    </row>
    <row r="11" spans="1:14" ht="16.5" thickBot="1" x14ac:dyDescent="0.3">
      <c r="A11" s="46" t="s">
        <v>2</v>
      </c>
      <c r="B11" s="47">
        <f>ROUNDUP(B7+B10,1)</f>
        <v>1</v>
      </c>
      <c r="C11" s="48"/>
      <c r="D11" s="48"/>
      <c r="E11" s="49">
        <f>SUM(E7:E9)</f>
        <v>7.5571609999999997E-2</v>
      </c>
      <c r="F11" s="50" t="s">
        <v>8</v>
      </c>
      <c r="I11" s="46" t="s">
        <v>2</v>
      </c>
      <c r="J11" s="47">
        <f>ROUNDUP(J7+J10,1)</f>
        <v>1</v>
      </c>
      <c r="K11" s="48"/>
      <c r="L11" s="48"/>
      <c r="M11" s="49">
        <f>SUM(M7:M9)</f>
        <v>7.618084E-2</v>
      </c>
      <c r="N11" s="50" t="s">
        <v>8</v>
      </c>
    </row>
    <row r="12" spans="1:14" ht="16.5" thickTop="1" x14ac:dyDescent="0.25"/>
    <row r="14" spans="1:14" ht="21" x14ac:dyDescent="0.35">
      <c r="A14" s="66" t="s">
        <v>76</v>
      </c>
    </row>
    <row r="16" spans="1:14" x14ac:dyDescent="0.25">
      <c r="A16" s="80">
        <v>0.21</v>
      </c>
      <c r="B16" s="1" t="s">
        <v>77</v>
      </c>
    </row>
    <row r="17" spans="1:13" x14ac:dyDescent="0.25">
      <c r="A17" s="125">
        <v>0.05</v>
      </c>
      <c r="B17" s="1" t="s">
        <v>131</v>
      </c>
    </row>
    <row r="18" spans="1:13" x14ac:dyDescent="0.25">
      <c r="A18" s="94">
        <v>-1.0500000000000001E-2</v>
      </c>
      <c r="B18" s="1" t="s">
        <v>132</v>
      </c>
    </row>
    <row r="19" spans="1:13" x14ac:dyDescent="0.25">
      <c r="A19" s="82">
        <f>SUM(A16:A18)</f>
        <v>0.2495</v>
      </c>
      <c r="B19" s="1" t="s">
        <v>78</v>
      </c>
    </row>
    <row r="21" spans="1:13" x14ac:dyDescent="0.25">
      <c r="A21" s="83">
        <f>(E7/(1-A19))*A19</f>
        <v>1.8304184357095271E-2</v>
      </c>
      <c r="B21" s="1" t="s">
        <v>81</v>
      </c>
    </row>
    <row r="22" spans="1:13" x14ac:dyDescent="0.25">
      <c r="A22" s="83">
        <f>(M7/(1-A19))*A19</f>
        <v>1.8304184357095271E-2</v>
      </c>
      <c r="B22" s="1" t="s">
        <v>82</v>
      </c>
    </row>
    <row r="24" spans="1:13" ht="21" x14ac:dyDescent="0.35">
      <c r="A24" s="67" t="s">
        <v>22</v>
      </c>
      <c r="I24" s="79" t="s">
        <v>75</v>
      </c>
    </row>
    <row r="25" spans="1:13" x14ac:dyDescent="0.25">
      <c r="A25" s="83">
        <f>E11</f>
        <v>7.5571609999999997E-2</v>
      </c>
      <c r="B25" s="1" t="s">
        <v>3</v>
      </c>
      <c r="I25" s="83">
        <f>M11</f>
        <v>7.618084E-2</v>
      </c>
      <c r="J25" s="1" t="s">
        <v>3</v>
      </c>
    </row>
    <row r="26" spans="1:13" x14ac:dyDescent="0.25">
      <c r="A26" s="84">
        <f>1/D26</f>
        <v>0.1</v>
      </c>
      <c r="B26" s="1" t="s">
        <v>79</v>
      </c>
      <c r="D26" s="54">
        <v>10</v>
      </c>
      <c r="E26" s="1" t="s">
        <v>4</v>
      </c>
      <c r="I26" s="84">
        <f>1/L26</f>
        <v>0.1</v>
      </c>
      <c r="J26" s="1" t="s">
        <v>79</v>
      </c>
      <c r="L26" s="54">
        <v>10</v>
      </c>
      <c r="M26" s="1" t="s">
        <v>4</v>
      </c>
    </row>
    <row r="27" spans="1:13" x14ac:dyDescent="0.25">
      <c r="A27" s="83">
        <f>A21</f>
        <v>1.8304184357095271E-2</v>
      </c>
      <c r="B27" s="1" t="s">
        <v>5</v>
      </c>
      <c r="I27" s="83">
        <f>A22</f>
        <v>1.8304184357095271E-2</v>
      </c>
      <c r="J27" s="1" t="s">
        <v>5</v>
      </c>
    </row>
    <row r="28" spans="1:13" ht="16.5" thickBot="1" x14ac:dyDescent="0.3">
      <c r="A28" s="123">
        <v>1.49E-2</v>
      </c>
      <c r="B28" s="1" t="s">
        <v>80</v>
      </c>
      <c r="I28" s="123">
        <v>1.6899999999999998E-2</v>
      </c>
      <c r="J28" s="1" t="s">
        <v>80</v>
      </c>
    </row>
    <row r="29" spans="1:13" ht="16.5" thickTop="1" x14ac:dyDescent="0.25">
      <c r="A29" s="85">
        <f>SUM(A25:A28)</f>
        <v>0.20877579435709526</v>
      </c>
      <c r="B29" s="28" t="s">
        <v>83</v>
      </c>
      <c r="I29" s="85">
        <f>SUM(I25:I28)</f>
        <v>0.21138502435709527</v>
      </c>
      <c r="J29" s="28" t="s">
        <v>84</v>
      </c>
    </row>
    <row r="32" spans="1:13" ht="21" x14ac:dyDescent="0.35">
      <c r="A32" s="107"/>
      <c r="B32" s="108"/>
      <c r="C32" s="108"/>
      <c r="D32" s="108"/>
    </row>
    <row r="33" spans="1:4" x14ac:dyDescent="0.25">
      <c r="A33" s="108"/>
      <c r="B33" s="108"/>
      <c r="C33" s="108"/>
      <c r="D33" s="108"/>
    </row>
    <row r="34" spans="1:4" x14ac:dyDescent="0.25">
      <c r="A34" s="109"/>
      <c r="B34" s="108"/>
      <c r="C34" s="108"/>
      <c r="D34" s="108"/>
    </row>
    <row r="35" spans="1:4" x14ac:dyDescent="0.25">
      <c r="A35" s="108"/>
      <c r="B35" s="108"/>
      <c r="C35" s="108"/>
      <c r="D35" s="108"/>
    </row>
    <row r="36" spans="1:4" x14ac:dyDescent="0.25">
      <c r="A36" s="110"/>
      <c r="B36" s="111"/>
      <c r="C36" s="110"/>
      <c r="D36" s="108"/>
    </row>
    <row r="37" spans="1:4" x14ac:dyDescent="0.25">
      <c r="A37" s="108"/>
      <c r="B37" s="112"/>
      <c r="C37" s="106"/>
      <c r="D37" s="108"/>
    </row>
    <row r="38" spans="1:4" x14ac:dyDescent="0.25">
      <c r="A38" s="108"/>
      <c r="B38" s="112"/>
      <c r="C38" s="106"/>
      <c r="D38" s="108"/>
    </row>
    <row r="39" spans="1:4" x14ac:dyDescent="0.25">
      <c r="A39" s="108"/>
      <c r="B39" s="112"/>
      <c r="C39" s="106"/>
      <c r="D39" s="108"/>
    </row>
    <row r="40" spans="1:4" x14ac:dyDescent="0.25">
      <c r="A40" s="108"/>
      <c r="B40" s="112"/>
      <c r="C40" s="106"/>
      <c r="D40" s="108"/>
    </row>
    <row r="41" spans="1:4" x14ac:dyDescent="0.25">
      <c r="A41" s="108"/>
      <c r="B41" s="112"/>
      <c r="C41" s="106"/>
      <c r="D41" s="108"/>
    </row>
    <row r="42" spans="1:4" x14ac:dyDescent="0.25">
      <c r="A42" s="108"/>
      <c r="B42" s="112"/>
      <c r="C42" s="106"/>
      <c r="D42" s="108"/>
    </row>
    <row r="43" spans="1:4" x14ac:dyDescent="0.25">
      <c r="A43" s="108"/>
      <c r="B43" s="112"/>
      <c r="C43" s="106"/>
      <c r="D43" s="108"/>
    </row>
    <row r="44" spans="1:4" x14ac:dyDescent="0.25">
      <c r="A44" s="108"/>
      <c r="B44" s="112"/>
      <c r="C44" s="106"/>
      <c r="D44" s="108"/>
    </row>
    <row r="45" spans="1:4" x14ac:dyDescent="0.25">
      <c r="A45" s="108"/>
      <c r="B45" s="112"/>
      <c r="C45" s="106"/>
      <c r="D45" s="108"/>
    </row>
    <row r="46" spans="1:4" x14ac:dyDescent="0.25">
      <c r="A46" s="108"/>
      <c r="B46" s="112"/>
      <c r="C46" s="106"/>
      <c r="D46" s="108"/>
    </row>
    <row r="47" spans="1:4" x14ac:dyDescent="0.25">
      <c r="A47" s="108"/>
      <c r="B47" s="112"/>
      <c r="C47" s="106"/>
      <c r="D47" s="108"/>
    </row>
    <row r="48" spans="1:4" x14ac:dyDescent="0.25">
      <c r="A48" s="108"/>
      <c r="B48" s="112"/>
      <c r="C48" s="106"/>
      <c r="D48" s="108"/>
    </row>
    <row r="49" spans="1:4" x14ac:dyDescent="0.25">
      <c r="A49" s="108"/>
      <c r="B49" s="113"/>
      <c r="C49" s="114"/>
      <c r="D49" s="108"/>
    </row>
  </sheetData>
  <pageMargins left="0.7" right="0.7" top="0.75" bottom="0.75" header="0.3" footer="0.3"/>
  <ignoredErrors>
    <ignoredError sqref="B1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80" zoomScaleNormal="80" workbookViewId="0"/>
  </sheetViews>
  <sheetFormatPr defaultRowHeight="15.75" x14ac:dyDescent="0.25"/>
  <cols>
    <col min="1" max="1" width="17.21875" style="1" customWidth="1"/>
    <col min="2" max="2" width="10.33203125" style="1" customWidth="1"/>
    <col min="3" max="3" width="11.21875" style="1" customWidth="1"/>
    <col min="4" max="4" width="8.88671875" style="1"/>
    <col min="5" max="5" width="15.33203125" style="1" customWidth="1"/>
    <col min="6" max="7" width="8.88671875" style="1"/>
    <col min="8" max="8" width="14.33203125" style="1" bestFit="1" customWidth="1"/>
    <col min="9" max="11" width="8.88671875" style="1"/>
    <col min="12" max="12" width="15.77734375" style="1" customWidth="1"/>
    <col min="13" max="16384" width="8.88671875" style="1"/>
  </cols>
  <sheetData>
    <row r="1" spans="1:13" ht="21" x14ac:dyDescent="0.35">
      <c r="A1" s="97" t="s">
        <v>111</v>
      </c>
    </row>
    <row r="2" spans="1:13" x14ac:dyDescent="0.25">
      <c r="A2" s="28" t="s">
        <v>94</v>
      </c>
      <c r="H2" s="28" t="s">
        <v>130</v>
      </c>
    </row>
    <row r="3" spans="1:13" ht="47.25" x14ac:dyDescent="0.25">
      <c r="A3" s="102" t="s">
        <v>95</v>
      </c>
      <c r="B3" s="98" t="s">
        <v>96</v>
      </c>
      <c r="C3" s="98" t="s">
        <v>97</v>
      </c>
      <c r="D3" s="98" t="s">
        <v>98</v>
      </c>
      <c r="E3" s="98" t="s">
        <v>110</v>
      </c>
      <c r="F3" s="98" t="s">
        <v>99</v>
      </c>
      <c r="H3" s="102" t="s">
        <v>95</v>
      </c>
      <c r="I3" s="98" t="s">
        <v>96</v>
      </c>
      <c r="J3" s="98" t="s">
        <v>97</v>
      </c>
      <c r="K3" s="98" t="s">
        <v>98</v>
      </c>
      <c r="L3" s="98" t="s">
        <v>110</v>
      </c>
      <c r="M3" s="98" t="s">
        <v>99</v>
      </c>
    </row>
    <row r="4" spans="1:13" x14ac:dyDescent="0.25">
      <c r="A4" s="92" t="s">
        <v>100</v>
      </c>
      <c r="B4" s="100">
        <v>365</v>
      </c>
      <c r="C4" s="100">
        <v>106</v>
      </c>
      <c r="D4" s="104">
        <f>4*B4</f>
        <v>1460</v>
      </c>
      <c r="E4" s="81">
        <f>C4/D4</f>
        <v>7.260273972602739E-2</v>
      </c>
      <c r="F4" s="81">
        <f>C4/(B4*24)</f>
        <v>1.2100456621004566E-2</v>
      </c>
      <c r="H4" s="92" t="s">
        <v>128</v>
      </c>
      <c r="I4" s="100">
        <v>365</v>
      </c>
      <c r="J4" s="100">
        <v>374</v>
      </c>
      <c r="K4" s="104">
        <f>4*I4</f>
        <v>1460</v>
      </c>
      <c r="L4" s="81">
        <f>J4/K4</f>
        <v>0.25616438356164384</v>
      </c>
      <c r="M4" s="81">
        <f>J4/(I4*24)</f>
        <v>4.269406392694064E-2</v>
      </c>
    </row>
    <row r="5" spans="1:13" x14ac:dyDescent="0.25">
      <c r="A5" s="92" t="s">
        <v>101</v>
      </c>
      <c r="B5" s="100">
        <v>353</v>
      </c>
      <c r="C5" s="100">
        <v>163</v>
      </c>
      <c r="D5" s="104">
        <f t="shared" ref="D5:D11" si="0">4*B5</f>
        <v>1412</v>
      </c>
      <c r="E5" s="81">
        <f t="shared" ref="E5:E11" si="1">C5/D5</f>
        <v>0.11543909348441926</v>
      </c>
      <c r="F5" s="81">
        <f t="shared" ref="F5:F12" si="2">C5/(B5*24)</f>
        <v>1.9239848914069876E-2</v>
      </c>
      <c r="H5" s="92" t="s">
        <v>129</v>
      </c>
      <c r="I5" s="100">
        <v>135</v>
      </c>
      <c r="J5" s="100">
        <v>0</v>
      </c>
      <c r="K5" s="104">
        <f t="shared" ref="K5" si="3">4*I5</f>
        <v>540</v>
      </c>
      <c r="L5" s="81">
        <f t="shared" ref="L5" si="4">J5/K5</f>
        <v>0</v>
      </c>
      <c r="M5" s="81">
        <f t="shared" ref="M5:M12" si="5">J5/(I5*24)</f>
        <v>0</v>
      </c>
    </row>
    <row r="6" spans="1:13" x14ac:dyDescent="0.25">
      <c r="A6" s="92" t="s">
        <v>102</v>
      </c>
      <c r="B6" s="100">
        <v>32</v>
      </c>
      <c r="C6" s="100">
        <v>0.4</v>
      </c>
      <c r="D6" s="104">
        <f t="shared" si="0"/>
        <v>128</v>
      </c>
      <c r="E6" s="81">
        <f t="shared" si="1"/>
        <v>3.1250000000000002E-3</v>
      </c>
      <c r="F6" s="81">
        <f t="shared" si="2"/>
        <v>5.2083333333333333E-4</v>
      </c>
      <c r="H6" s="92"/>
      <c r="I6" s="100"/>
      <c r="J6" s="100"/>
      <c r="K6" s="104"/>
      <c r="L6" s="81"/>
      <c r="M6" s="81"/>
    </row>
    <row r="7" spans="1:13" x14ac:dyDescent="0.25">
      <c r="A7" s="92" t="s">
        <v>103</v>
      </c>
      <c r="B7" s="100">
        <v>365</v>
      </c>
      <c r="C7" s="100">
        <v>94</v>
      </c>
      <c r="D7" s="104">
        <f t="shared" si="0"/>
        <v>1460</v>
      </c>
      <c r="E7" s="81">
        <f t="shared" si="1"/>
        <v>6.4383561643835616E-2</v>
      </c>
      <c r="F7" s="81">
        <f t="shared" si="2"/>
        <v>1.0730593607305937E-2</v>
      </c>
      <c r="H7" s="92"/>
      <c r="I7" s="100"/>
      <c r="J7" s="100"/>
      <c r="K7" s="104"/>
      <c r="L7" s="81"/>
      <c r="M7" s="81"/>
    </row>
    <row r="8" spans="1:13" x14ac:dyDescent="0.25">
      <c r="A8" s="92" t="s">
        <v>104</v>
      </c>
      <c r="B8" s="100">
        <v>362</v>
      </c>
      <c r="C8" s="100">
        <v>90</v>
      </c>
      <c r="D8" s="104">
        <f t="shared" si="0"/>
        <v>1448</v>
      </c>
      <c r="E8" s="81">
        <f t="shared" si="1"/>
        <v>6.2154696132596686E-2</v>
      </c>
      <c r="F8" s="81">
        <f t="shared" si="2"/>
        <v>1.0359116022099447E-2</v>
      </c>
      <c r="H8" s="92"/>
      <c r="I8" s="100"/>
      <c r="J8" s="100"/>
      <c r="K8" s="104"/>
      <c r="L8" s="81"/>
      <c r="M8" s="81"/>
    </row>
    <row r="9" spans="1:13" x14ac:dyDescent="0.25">
      <c r="A9" s="92" t="s">
        <v>105</v>
      </c>
      <c r="B9" s="100">
        <v>340</v>
      </c>
      <c r="C9" s="100">
        <v>44</v>
      </c>
      <c r="D9" s="104">
        <f t="shared" si="0"/>
        <v>1360</v>
      </c>
      <c r="E9" s="81">
        <f t="shared" si="1"/>
        <v>3.2352941176470591E-2</v>
      </c>
      <c r="F9" s="81">
        <f t="shared" si="2"/>
        <v>5.392156862745098E-3</v>
      </c>
      <c r="H9" s="92"/>
      <c r="I9" s="100"/>
      <c r="J9" s="100"/>
      <c r="K9" s="104"/>
      <c r="L9" s="81"/>
      <c r="M9" s="81"/>
    </row>
    <row r="10" spans="1:13" x14ac:dyDescent="0.25">
      <c r="A10" s="92" t="s">
        <v>106</v>
      </c>
      <c r="B10" s="100">
        <v>205</v>
      </c>
      <c r="C10" s="100">
        <v>21</v>
      </c>
      <c r="D10" s="104">
        <f t="shared" si="0"/>
        <v>820</v>
      </c>
      <c r="E10" s="81">
        <f t="shared" si="1"/>
        <v>2.5609756097560974E-2</v>
      </c>
      <c r="F10" s="81">
        <f t="shared" si="2"/>
        <v>4.2682926829268296E-3</v>
      </c>
      <c r="H10" s="92"/>
      <c r="I10" s="100"/>
      <c r="J10" s="100"/>
      <c r="K10" s="104"/>
      <c r="L10" s="81"/>
      <c r="M10" s="81"/>
    </row>
    <row r="11" spans="1:13" x14ac:dyDescent="0.25">
      <c r="A11" s="92" t="s">
        <v>107</v>
      </c>
      <c r="B11" s="101">
        <v>100</v>
      </c>
      <c r="C11" s="101">
        <v>20</v>
      </c>
      <c r="D11" s="101">
        <f t="shared" si="0"/>
        <v>400</v>
      </c>
      <c r="E11" s="105">
        <f t="shared" si="1"/>
        <v>0.05</v>
      </c>
      <c r="F11" s="105">
        <f t="shared" si="2"/>
        <v>8.3333333333333332E-3</v>
      </c>
      <c r="H11" s="92"/>
      <c r="I11" s="101"/>
      <c r="J11" s="101"/>
      <c r="K11" s="101"/>
      <c r="L11" s="105"/>
      <c r="M11" s="105"/>
    </row>
    <row r="12" spans="1:13" x14ac:dyDescent="0.25">
      <c r="B12" s="100">
        <f>SUM(B4:B11)</f>
        <v>2122</v>
      </c>
      <c r="C12" s="100">
        <f>SUM(C4:C11)</f>
        <v>538.4</v>
      </c>
      <c r="D12" s="100">
        <f>SUM(D4:D11)</f>
        <v>8488</v>
      </c>
      <c r="E12" s="81">
        <f>C12/D12</f>
        <v>6.3430725730442977E-2</v>
      </c>
      <c r="F12" s="81">
        <f t="shared" si="2"/>
        <v>1.0571787621740497E-2</v>
      </c>
      <c r="I12" s="100">
        <f>SUM(I4:I11)</f>
        <v>500</v>
      </c>
      <c r="J12" s="100">
        <f>SUM(J4:J11)</f>
        <v>374</v>
      </c>
      <c r="K12" s="100">
        <f>SUM(K4:K11)</f>
        <v>2000</v>
      </c>
      <c r="L12" s="81">
        <f>J12/K12</f>
        <v>0.187</v>
      </c>
      <c r="M12" s="81">
        <f t="shared" si="5"/>
        <v>3.1166666666666665E-2</v>
      </c>
    </row>
    <row r="14" spans="1:13" x14ac:dyDescent="0.25">
      <c r="B14" s="23" t="s">
        <v>70</v>
      </c>
      <c r="C14" s="23" t="s">
        <v>127</v>
      </c>
    </row>
    <row r="15" spans="1:13" x14ac:dyDescent="0.25">
      <c r="B15" s="99">
        <f>C12/B12</f>
        <v>0.25372290292177191</v>
      </c>
      <c r="C15" s="99">
        <f>J12/I12</f>
        <v>0.748</v>
      </c>
      <c r="D15" s="1" t="s">
        <v>108</v>
      </c>
    </row>
    <row r="16" spans="1:13" x14ac:dyDescent="0.25">
      <c r="B16" s="81">
        <f>C12/(B12*24)</f>
        <v>1.0571787621740497E-2</v>
      </c>
      <c r="C16" s="81">
        <f>J12/(I12*24)</f>
        <v>3.1166666666666665E-2</v>
      </c>
      <c r="D16" s="1" t="s">
        <v>109</v>
      </c>
    </row>
    <row r="18" spans="2:4" x14ac:dyDescent="0.25">
      <c r="B18" s="54">
        <v>4.01</v>
      </c>
      <c r="C18" s="54">
        <v>4.01</v>
      </c>
      <c r="D18" s="1" t="s">
        <v>112</v>
      </c>
    </row>
    <row r="20" spans="2:4" x14ac:dyDescent="0.25">
      <c r="B20" s="99">
        <f>B18*B15</f>
        <v>1.0174288407163052</v>
      </c>
      <c r="C20" s="99">
        <f>C18*C15</f>
        <v>2.9994799999999997</v>
      </c>
      <c r="D20" s="1" t="s">
        <v>113</v>
      </c>
    </row>
    <row r="22" spans="2:4" x14ac:dyDescent="0.25">
      <c r="B22" s="100">
        <f>B20*365</f>
        <v>371.36152686145141</v>
      </c>
      <c r="C22" s="100">
        <f>C20*365</f>
        <v>1094.8101999999999</v>
      </c>
      <c r="D22" s="1" t="s">
        <v>114</v>
      </c>
    </row>
    <row r="24" spans="2:4" x14ac:dyDescent="0.25">
      <c r="B24" s="54">
        <v>12</v>
      </c>
      <c r="C24" s="54">
        <v>12</v>
      </c>
      <c r="D24" s="1" t="s">
        <v>120</v>
      </c>
    </row>
    <row r="26" spans="2:4" x14ac:dyDescent="0.25">
      <c r="B26" s="100">
        <f>B22+B24</f>
        <v>383.36152686145141</v>
      </c>
      <c r="C26" s="100">
        <f>C22+C24</f>
        <v>1106.8101999999999</v>
      </c>
      <c r="D26" s="1" t="s">
        <v>121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80" zoomScaleNormal="80" workbookViewId="0">
      <pane xSplit="1" ySplit="1" topLeftCell="B2" activePane="bottomRight" state="frozen"/>
      <selection pane="topRight" activeCell="B1" sqref="B1"/>
      <selection pane="bottomLeft" activeCell="A2" sqref="A2"/>
      <selection pane="bottomRight" activeCell="B2" sqref="B2"/>
    </sheetView>
  </sheetViews>
  <sheetFormatPr defaultRowHeight="15.75" x14ac:dyDescent="0.25"/>
  <cols>
    <col min="1" max="1" width="25.21875" style="1" bestFit="1" customWidth="1"/>
    <col min="2" max="9" width="20.77734375" style="1" customWidth="1"/>
    <col min="10" max="16384" width="8.88671875" style="1"/>
  </cols>
  <sheetData>
    <row r="1" spans="1:9" ht="31.5" x14ac:dyDescent="0.25">
      <c r="A1" s="22" t="s">
        <v>32</v>
      </c>
      <c r="B1" s="20" t="s">
        <v>33</v>
      </c>
      <c r="C1" s="20" t="s">
        <v>34</v>
      </c>
      <c r="D1" s="20" t="s">
        <v>35</v>
      </c>
      <c r="E1" s="20" t="s">
        <v>36</v>
      </c>
      <c r="F1" s="20" t="s">
        <v>37</v>
      </c>
      <c r="G1" s="20" t="s">
        <v>38</v>
      </c>
      <c r="H1" s="20" t="s">
        <v>39</v>
      </c>
      <c r="I1" s="21" t="s">
        <v>40</v>
      </c>
    </row>
    <row r="2" spans="1:9" x14ac:dyDescent="0.25">
      <c r="A2" s="4" t="s">
        <v>41</v>
      </c>
      <c r="B2" s="5" t="s">
        <v>42</v>
      </c>
      <c r="C2" s="5" t="s">
        <v>42</v>
      </c>
      <c r="D2" s="5" t="s">
        <v>42</v>
      </c>
      <c r="E2" s="5" t="s">
        <v>42</v>
      </c>
      <c r="F2" s="5" t="s">
        <v>42</v>
      </c>
      <c r="G2" s="5" t="s">
        <v>42</v>
      </c>
      <c r="H2" s="5" t="s">
        <v>42</v>
      </c>
      <c r="I2" s="5" t="s">
        <v>42</v>
      </c>
    </row>
    <row r="3" spans="1:9" x14ac:dyDescent="0.25">
      <c r="A3" s="4" t="s">
        <v>43</v>
      </c>
      <c r="B3" s="6">
        <v>42592</v>
      </c>
      <c r="C3" s="6">
        <v>42689</v>
      </c>
      <c r="D3" s="6">
        <v>42738</v>
      </c>
      <c r="E3" s="6">
        <v>42747</v>
      </c>
      <c r="F3" s="6">
        <v>42760</v>
      </c>
      <c r="G3" s="6">
        <v>42895</v>
      </c>
      <c r="H3" s="6">
        <v>43000</v>
      </c>
      <c r="I3" s="7">
        <v>43068</v>
      </c>
    </row>
    <row r="4" spans="1:9" x14ac:dyDescent="0.25">
      <c r="A4" s="8" t="s">
        <v>44</v>
      </c>
      <c r="B4" s="9" t="s">
        <v>45</v>
      </c>
      <c r="C4" s="9" t="s">
        <v>46</v>
      </c>
      <c r="D4" s="9" t="s">
        <v>46</v>
      </c>
      <c r="E4" s="9" t="s">
        <v>45</v>
      </c>
      <c r="F4" s="9" t="s">
        <v>45</v>
      </c>
      <c r="G4" s="9" t="s">
        <v>46</v>
      </c>
      <c r="H4" s="9" t="s">
        <v>46</v>
      </c>
      <c r="I4" s="10" t="s">
        <v>46</v>
      </c>
    </row>
    <row r="5" spans="1:9" x14ac:dyDescent="0.25">
      <c r="A5" s="8" t="s">
        <v>47</v>
      </c>
      <c r="B5" s="9" t="s">
        <v>48</v>
      </c>
      <c r="C5" s="9" t="s">
        <v>49</v>
      </c>
      <c r="D5" s="9" t="s">
        <v>49</v>
      </c>
      <c r="E5" s="9" t="s">
        <v>49</v>
      </c>
      <c r="F5" s="9" t="s">
        <v>49</v>
      </c>
      <c r="G5" s="9" t="s">
        <v>49</v>
      </c>
      <c r="H5" s="9" t="s">
        <v>48</v>
      </c>
      <c r="I5" s="10" t="s">
        <v>48</v>
      </c>
    </row>
    <row r="6" spans="1:9" x14ac:dyDescent="0.25">
      <c r="A6" s="11" t="s">
        <v>50</v>
      </c>
      <c r="B6" s="12">
        <f>4907.24-452+294.44</f>
        <v>4749.6799999999994</v>
      </c>
      <c r="C6" s="12">
        <f>21474/3-904</f>
        <v>6254</v>
      </c>
      <c r="D6" s="12">
        <f>21474/3-904</f>
        <v>6254</v>
      </c>
      <c r="E6" s="12">
        <f>4907.25-452+294.43</f>
        <v>4749.68</v>
      </c>
      <c r="F6" s="12">
        <f>294.39+4906.51-452</f>
        <v>4748.9000000000005</v>
      </c>
      <c r="G6" s="13">
        <v>6254</v>
      </c>
      <c r="H6" s="13">
        <f>6254+429.54</f>
        <v>6683.54</v>
      </c>
      <c r="I6" s="14">
        <v>6255</v>
      </c>
    </row>
    <row r="7" spans="1:9" x14ac:dyDescent="0.25">
      <c r="A7" s="15" t="s">
        <v>51</v>
      </c>
      <c r="B7" s="12">
        <f>452</f>
        <v>452</v>
      </c>
      <c r="C7" s="12">
        <f>452*2</f>
        <v>904</v>
      </c>
      <c r="D7" s="12">
        <f>452*2</f>
        <v>904</v>
      </c>
      <c r="E7" s="12">
        <f>452</f>
        <v>452</v>
      </c>
      <c r="F7" s="12">
        <f>452</f>
        <v>452</v>
      </c>
      <c r="G7" s="13">
        <v>904</v>
      </c>
      <c r="H7" s="13">
        <v>510</v>
      </c>
      <c r="I7" s="14">
        <v>510</v>
      </c>
    </row>
    <row r="8" spans="1:9" x14ac:dyDescent="0.25">
      <c r="A8" s="8" t="s">
        <v>52</v>
      </c>
      <c r="B8" s="12">
        <v>704.24</v>
      </c>
      <c r="C8" s="12">
        <v>855.67</v>
      </c>
      <c r="D8" s="12">
        <v>460</v>
      </c>
      <c r="E8" s="12">
        <v>12041.88</v>
      </c>
      <c r="F8" s="12">
        <f>918.74+135.04</f>
        <v>1053.78</v>
      </c>
      <c r="G8" s="13">
        <v>0</v>
      </c>
      <c r="H8" s="13">
        <v>2773.48</v>
      </c>
      <c r="I8" s="14">
        <v>0</v>
      </c>
    </row>
    <row r="9" spans="1:9" x14ac:dyDescent="0.25">
      <c r="A9" s="8" t="s">
        <v>197</v>
      </c>
      <c r="B9" s="12">
        <f>5302.27+5567.5</f>
        <v>10869.77</v>
      </c>
      <c r="C9" s="12">
        <f>551.57+6599.62</f>
        <v>7151.19</v>
      </c>
      <c r="D9" s="12">
        <v>5705</v>
      </c>
      <c r="E9" s="12">
        <v>1533</v>
      </c>
      <c r="F9" s="12">
        <v>7220</v>
      </c>
      <c r="G9" s="13">
        <v>6540</v>
      </c>
      <c r="H9" s="13">
        <v>7840</v>
      </c>
      <c r="I9" s="14">
        <v>3917</v>
      </c>
    </row>
    <row r="10" spans="1:9" x14ac:dyDescent="0.25">
      <c r="A10" s="8" t="s">
        <v>53</v>
      </c>
      <c r="B10" s="12">
        <v>0</v>
      </c>
      <c r="C10" s="12">
        <v>0</v>
      </c>
      <c r="D10" s="12">
        <v>0</v>
      </c>
      <c r="E10" s="12">
        <v>0</v>
      </c>
      <c r="F10" s="12">
        <v>0</v>
      </c>
      <c r="G10" s="13">
        <v>0</v>
      </c>
      <c r="H10" s="13">
        <v>0</v>
      </c>
      <c r="I10" s="14">
        <v>0</v>
      </c>
    </row>
    <row r="11" spans="1:9" x14ac:dyDescent="0.25">
      <c r="A11" s="8" t="s">
        <v>54</v>
      </c>
      <c r="B11" s="12">
        <f>1888.62/20</f>
        <v>94.430999999999997</v>
      </c>
      <c r="C11" s="12">
        <v>94</v>
      </c>
      <c r="D11" s="12">
        <v>94</v>
      </c>
      <c r="E11" s="12">
        <f>1888.62/20</f>
        <v>94.430999999999997</v>
      </c>
      <c r="F11" s="12">
        <v>94</v>
      </c>
      <c r="G11" s="13">
        <v>94</v>
      </c>
      <c r="H11" s="13">
        <v>94</v>
      </c>
      <c r="I11" s="14">
        <v>94</v>
      </c>
    </row>
    <row r="12" spans="1:9" x14ac:dyDescent="0.25">
      <c r="A12" s="8" t="s">
        <v>55</v>
      </c>
      <c r="B12" s="12">
        <v>0</v>
      </c>
      <c r="C12" s="12">
        <v>0</v>
      </c>
      <c r="D12" s="12">
        <v>0</v>
      </c>
      <c r="E12" s="12"/>
      <c r="F12" s="12">
        <v>0</v>
      </c>
      <c r="G12" s="13">
        <v>0</v>
      </c>
      <c r="H12" s="13">
        <v>0</v>
      </c>
      <c r="I12" s="14">
        <v>0</v>
      </c>
    </row>
    <row r="13" spans="1:9" x14ac:dyDescent="0.25">
      <c r="A13" s="16" t="s">
        <v>56</v>
      </c>
      <c r="B13" s="14">
        <v>0</v>
      </c>
      <c r="C13" s="14">
        <v>632.75</v>
      </c>
      <c r="D13" s="14">
        <v>633</v>
      </c>
      <c r="E13" s="14">
        <v>0</v>
      </c>
      <c r="F13" s="14">
        <f>208.43+250</f>
        <v>458.43</v>
      </c>
      <c r="G13" s="13">
        <v>633</v>
      </c>
      <c r="H13" s="13">
        <v>632.75</v>
      </c>
      <c r="I13" s="14">
        <v>0</v>
      </c>
    </row>
    <row r="14" spans="1:9" x14ac:dyDescent="0.25">
      <c r="A14" s="17" t="s">
        <v>57</v>
      </c>
      <c r="B14" s="25">
        <v>0</v>
      </c>
      <c r="C14" s="26">
        <v>0</v>
      </c>
      <c r="D14" s="26">
        <v>0</v>
      </c>
      <c r="E14" s="25">
        <v>0</v>
      </c>
      <c r="F14" s="26">
        <v>0</v>
      </c>
      <c r="G14" s="26">
        <v>0</v>
      </c>
      <c r="H14" s="26">
        <v>0</v>
      </c>
      <c r="I14" s="25">
        <v>0</v>
      </c>
    </row>
    <row r="15" spans="1:9" x14ac:dyDescent="0.25">
      <c r="A15" s="8" t="s">
        <v>58</v>
      </c>
      <c r="B15" s="18">
        <f>SUM(B6:B14)</f>
        <v>16870.120999999999</v>
      </c>
      <c r="C15" s="12">
        <f>SUM(C6:C14)</f>
        <v>15891.61</v>
      </c>
      <c r="D15" s="18">
        <f>SUM(D6:D14)</f>
        <v>14050</v>
      </c>
      <c r="E15" s="12">
        <f>SUM(E6:E12)</f>
        <v>18870.990999999998</v>
      </c>
      <c r="F15" s="18">
        <f>SUM(F6:F14)</f>
        <v>14027.11</v>
      </c>
      <c r="G15" s="18">
        <f>SUM(G6:G14)</f>
        <v>14425</v>
      </c>
      <c r="H15" s="18">
        <f>SUM(H6:H14)</f>
        <v>18533.77</v>
      </c>
      <c r="I15" s="19">
        <f>SUM(I6:I14)</f>
        <v>10776</v>
      </c>
    </row>
    <row r="16" spans="1:9" x14ac:dyDescent="0.25">
      <c r="A16" s="2" t="s">
        <v>59</v>
      </c>
      <c r="B16" s="3">
        <f>B15-B7-B11</f>
        <v>16323.689999999999</v>
      </c>
      <c r="C16" s="3">
        <f t="shared" ref="C16:I16" si="0">C15-C7-C11</f>
        <v>14893.61</v>
      </c>
      <c r="D16" s="3">
        <f t="shared" si="0"/>
        <v>13052</v>
      </c>
      <c r="E16" s="3">
        <f t="shared" si="0"/>
        <v>18324.559999999998</v>
      </c>
      <c r="F16" s="3">
        <f t="shared" si="0"/>
        <v>13481.11</v>
      </c>
      <c r="G16" s="3">
        <f t="shared" si="0"/>
        <v>13427</v>
      </c>
      <c r="H16" s="3">
        <f t="shared" si="0"/>
        <v>17929.77</v>
      </c>
      <c r="I16" s="3">
        <f t="shared" si="0"/>
        <v>10172</v>
      </c>
    </row>
    <row r="18" spans="1:4" x14ac:dyDescent="0.25">
      <c r="A18" s="52" t="s">
        <v>67</v>
      </c>
    </row>
    <row r="19" spans="1:4" x14ac:dyDescent="0.25">
      <c r="B19" s="23" t="s">
        <v>45</v>
      </c>
      <c r="C19" s="23" t="s">
        <v>46</v>
      </c>
      <c r="D19" s="56"/>
    </row>
    <row r="20" spans="1:4" x14ac:dyDescent="0.25">
      <c r="A20" s="11" t="s">
        <v>50</v>
      </c>
      <c r="B20" s="24">
        <f>AVERAGEIFS($B6:$I6,$B$4:$I$4,B$19)</f>
        <v>4749.420000000001</v>
      </c>
      <c r="C20" s="24">
        <f>AVERAGEIFS($B6:$I6,$B$4:$I$4,C$19)</f>
        <v>6340.1080000000002</v>
      </c>
      <c r="D20" s="63" t="s">
        <v>69</v>
      </c>
    </row>
    <row r="21" spans="1:4" x14ac:dyDescent="0.25">
      <c r="A21" s="8" t="s">
        <v>52</v>
      </c>
      <c r="B21" s="24">
        <f t="shared" ref="B21:C23" si="1">AVERAGE($B8:$I8)</f>
        <v>2236.1312499999999</v>
      </c>
      <c r="C21" s="24">
        <f t="shared" si="1"/>
        <v>2236.1312499999999</v>
      </c>
      <c r="D21" s="63" t="s">
        <v>70</v>
      </c>
    </row>
    <row r="22" spans="1:4" x14ac:dyDescent="0.25">
      <c r="A22" s="8" t="s">
        <v>197</v>
      </c>
      <c r="B22" s="24">
        <f t="shared" si="1"/>
        <v>6346.9949999999999</v>
      </c>
      <c r="C22" s="24">
        <f t="shared" si="1"/>
        <v>6346.9949999999999</v>
      </c>
      <c r="D22" s="63" t="s">
        <v>70</v>
      </c>
    </row>
    <row r="23" spans="1:4" x14ac:dyDescent="0.25">
      <c r="A23" s="8" t="s">
        <v>53</v>
      </c>
      <c r="B23" s="24">
        <f t="shared" si="1"/>
        <v>0</v>
      </c>
      <c r="C23" s="24">
        <f t="shared" si="1"/>
        <v>0</v>
      </c>
      <c r="D23" s="63" t="s">
        <v>70</v>
      </c>
    </row>
    <row r="24" spans="1:4" x14ac:dyDescent="0.25">
      <c r="A24" s="8" t="s">
        <v>54</v>
      </c>
      <c r="B24" s="55">
        <v>94</v>
      </c>
      <c r="C24" s="55">
        <v>94</v>
      </c>
      <c r="D24" s="64"/>
    </row>
    <row r="25" spans="1:4" x14ac:dyDescent="0.25">
      <c r="A25" s="8" t="s">
        <v>55</v>
      </c>
      <c r="B25" s="57">
        <f>AVERAGE($B12:$I12)</f>
        <v>0</v>
      </c>
      <c r="C25" s="57">
        <f>AVERAGE($B12:$I12)</f>
        <v>0</v>
      </c>
      <c r="D25" s="63"/>
    </row>
    <row r="26" spans="1:4" x14ac:dyDescent="0.25">
      <c r="A26" s="16" t="s">
        <v>56</v>
      </c>
      <c r="B26" s="58">
        <v>458.43</v>
      </c>
      <c r="C26" s="58">
        <v>633</v>
      </c>
      <c r="D26" s="63"/>
    </row>
    <row r="27" spans="1:4" x14ac:dyDescent="0.25">
      <c r="A27" s="17" t="s">
        <v>57</v>
      </c>
      <c r="B27" s="27">
        <f t="shared" ref="B27:C27" si="2">AVERAGE($B14:$I14)</f>
        <v>0</v>
      </c>
      <c r="C27" s="27">
        <f t="shared" si="2"/>
        <v>0</v>
      </c>
      <c r="D27" s="63"/>
    </row>
    <row r="28" spans="1:4" x14ac:dyDescent="0.25">
      <c r="A28" s="28" t="s">
        <v>60</v>
      </c>
      <c r="B28" s="29">
        <f>SUM(B20:B27)</f>
        <v>13884.97625</v>
      </c>
      <c r="C28" s="29">
        <f>SUM(C20:C27)</f>
        <v>15650.234250000001</v>
      </c>
      <c r="D28" s="62" t="s">
        <v>68</v>
      </c>
    </row>
    <row r="29" spans="1:4" x14ac:dyDescent="0.25">
      <c r="D29" s="65"/>
    </row>
    <row r="30" spans="1:4" x14ac:dyDescent="0.25">
      <c r="A30" s="52" t="s">
        <v>66</v>
      </c>
      <c r="D30" s="65"/>
    </row>
    <row r="31" spans="1:4" x14ac:dyDescent="0.25">
      <c r="B31" s="53" t="s">
        <v>45</v>
      </c>
      <c r="C31" s="53" t="s">
        <v>62</v>
      </c>
      <c r="D31" s="65"/>
    </row>
    <row r="32" spans="1:4" x14ac:dyDescent="0.25">
      <c r="A32" s="1" t="s">
        <v>61</v>
      </c>
      <c r="B32" s="55">
        <f>2*2*31.5</f>
        <v>126</v>
      </c>
      <c r="C32" s="55">
        <f>2*2*31.5</f>
        <v>126</v>
      </c>
      <c r="D32" s="65" t="s">
        <v>65</v>
      </c>
    </row>
    <row r="33" spans="1:4" x14ac:dyDescent="0.25">
      <c r="A33" s="61" t="s">
        <v>64</v>
      </c>
      <c r="B33" s="59">
        <v>255</v>
      </c>
      <c r="C33" s="60">
        <v>510</v>
      </c>
      <c r="D33" s="65" t="s">
        <v>63</v>
      </c>
    </row>
    <row r="34" spans="1:4" x14ac:dyDescent="0.25">
      <c r="A34" s="28" t="s">
        <v>60</v>
      </c>
      <c r="B34" s="29">
        <f>SUM(B32:B33)</f>
        <v>381</v>
      </c>
      <c r="C34" s="29">
        <f>SUM(C32:C33)</f>
        <v>636</v>
      </c>
      <c r="D34" s="65"/>
    </row>
    <row r="35" spans="1:4" x14ac:dyDescent="0.25">
      <c r="A35" s="40"/>
      <c r="D35" s="65"/>
    </row>
    <row r="36" spans="1:4" x14ac:dyDescent="0.25">
      <c r="A36" s="51" t="s">
        <v>72</v>
      </c>
      <c r="D36" s="65"/>
    </row>
    <row r="37" spans="1:4" x14ac:dyDescent="0.25">
      <c r="A37" s="1" t="s">
        <v>71</v>
      </c>
    </row>
    <row r="39" spans="1:4" x14ac:dyDescent="0.25">
      <c r="A39" s="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edcdeb43ecd77b2d9855a94c511d88b6">
  <xsd:schema xmlns:xsd="http://www.w3.org/2001/XMLSchema" xmlns:xs="http://www.w3.org/2001/XMLSchema" xmlns:p="http://schemas.microsoft.com/office/2006/metadata/properties" xmlns:ns2="54fcda00-7b58-44a7-b108-8bd10a8a08ba" targetNamespace="http://schemas.microsoft.com/office/2006/metadata/properties" ma:root="true" ma:fieldsID="5bafc3a96119dedc7b88f594c3c04383"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DR02 Attachments</Round>
    <Data_x0020_Request_x0020_Question_x0020_No_x002e_ xmlns="54fcda00-7b58-44a7-b108-8bd10a8a08ba">032</Data_x0020_Request_x0020_Question_x0020_No_x002e_>
    <Year xmlns="54fcda00-7b58-44a7-b108-8bd10a8a08ba">2018</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ocumentManagement>
</p:properties>
</file>

<file path=customXml/itemProps1.xml><?xml version="1.0" encoding="utf-8"?>
<ds:datastoreItem xmlns:ds="http://schemas.openxmlformats.org/officeDocument/2006/customXml" ds:itemID="{B7A7A4E2-82E4-459B-81D6-CE7AD964AEC4}"/>
</file>

<file path=customXml/itemProps2.xml><?xml version="1.0" encoding="utf-8"?>
<ds:datastoreItem xmlns:ds="http://schemas.openxmlformats.org/officeDocument/2006/customXml" ds:itemID="{5ACB16C5-9D78-43D3-8069-66D2860C2E07}"/>
</file>

<file path=customXml/itemProps3.xml><?xml version="1.0" encoding="utf-8"?>
<ds:datastoreItem xmlns:ds="http://schemas.openxmlformats.org/officeDocument/2006/customXml" ds:itemID="{F3EF85EA-0BD5-4CBC-82E1-AD35442C06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LGE Rate Summary</vt:lpstr>
      <vt:lpstr>KU Rate Summary</vt:lpstr>
      <vt:lpstr>CCS_Inputs</vt:lpstr>
      <vt:lpstr>ECR FAC TCJA</vt:lpstr>
      <vt:lpstr>WACC - Carrying Charges</vt:lpstr>
      <vt:lpstr>2017 EV Usage Data</vt:lpstr>
      <vt:lpstr>Costs_Reference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Shakespere Poles</dc:title>
  <dc:subject>Historic Decoative Poles</dc:subject>
  <dc:creator>LG&amp;E</dc:creator>
  <cp:lastModifiedBy>Hurst, Brian</cp:lastModifiedBy>
  <cp:lastPrinted>2018-07-02T18:22:14Z</cp:lastPrinted>
  <dcterms:created xsi:type="dcterms:W3CDTF">1998-12-11T20:03:45Z</dcterms:created>
  <dcterms:modified xsi:type="dcterms:W3CDTF">2018-11-19T13:59:42Z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