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370" windowHeight="5340" tabRatio="855"/>
  </bookViews>
  <sheets>
    <sheet name="LS Summary" sheetId="10" r:id="rId1"/>
    <sheet name="Overhead Lights" sheetId="2" r:id="rId2"/>
    <sheet name="Underground Lights" sheetId="3" r:id="rId3"/>
    <sheet name="ECR FAC" sheetId="8" r:id="rId4"/>
    <sheet name="Fixed Carrying Cost" sheetId="9" r:id="rId5"/>
    <sheet name="Forecasted Lights" sheetId="11" r:id="rId6"/>
    <sheet name="Materials+LaborUnits" sheetId="4" r:id="rId7"/>
    <sheet name="Materials" sheetId="5" r:id="rId8"/>
    <sheet name="Maintenance &amp; NBV" sheetId="6" r:id="rId9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8" i="6" l="1"/>
  <c r="I4" i="6" l="1"/>
  <c r="I5" i="6"/>
  <c r="I7" i="6"/>
  <c r="I3" i="6"/>
  <c r="H6" i="6" l="1"/>
  <c r="J41" i="10" l="1"/>
  <c r="C27" i="6" l="1"/>
  <c r="H27" i="6"/>
  <c r="D48" i="6" l="1"/>
  <c r="B48" i="9"/>
  <c r="F48" i="9" s="1"/>
  <c r="J33" i="10" l="1"/>
  <c r="J34" i="10"/>
  <c r="J35" i="10"/>
  <c r="J36" i="10"/>
  <c r="N51" i="3"/>
  <c r="O51" i="3"/>
  <c r="P51" i="3"/>
  <c r="Q51" i="3"/>
  <c r="N62" i="3"/>
  <c r="O62" i="3"/>
  <c r="P62" i="3"/>
  <c r="Q62" i="3"/>
  <c r="N47" i="3"/>
  <c r="O47" i="3"/>
  <c r="P47" i="3"/>
  <c r="Q47" i="3"/>
  <c r="N23" i="3"/>
  <c r="O23" i="3"/>
  <c r="P23" i="3"/>
  <c r="Q23" i="3"/>
  <c r="O22" i="3"/>
  <c r="P22" i="3"/>
  <c r="Q22" i="3"/>
  <c r="N22" i="3"/>
  <c r="Q17" i="3"/>
  <c r="P17" i="3"/>
  <c r="O17" i="3"/>
  <c r="N17" i="3"/>
  <c r="Q67" i="3" l="1"/>
  <c r="Q68" i="3" s="1"/>
  <c r="N67" i="3"/>
  <c r="N68" i="3" s="1"/>
  <c r="P67" i="3"/>
  <c r="P68" i="3" s="1"/>
  <c r="Q69" i="3"/>
  <c r="O67" i="3"/>
  <c r="O68" i="3" s="1"/>
  <c r="P69" i="3"/>
  <c r="O69" i="3"/>
  <c r="N69" i="3"/>
  <c r="M26" i="3"/>
  <c r="L26" i="3"/>
  <c r="N70" i="3" l="1"/>
  <c r="K33" i="10" s="1"/>
  <c r="L33" i="10" s="1"/>
  <c r="Q70" i="3"/>
  <c r="K36" i="10" s="1"/>
  <c r="L36" i="10" s="1"/>
  <c r="P70" i="3"/>
  <c r="K35" i="10" s="1"/>
  <c r="L35" i="10" s="1"/>
  <c r="O70" i="3"/>
  <c r="K34" i="10" s="1"/>
  <c r="L34" i="10" s="1"/>
  <c r="D40" i="2"/>
  <c r="E40" i="2"/>
  <c r="F40" i="2"/>
  <c r="G40" i="2"/>
  <c r="H40" i="2"/>
  <c r="I40" i="2"/>
  <c r="J40" i="2"/>
  <c r="K40" i="2"/>
  <c r="C40" i="2"/>
  <c r="E30" i="4" l="1"/>
  <c r="B40" i="6"/>
  <c r="F79" i="9" l="1"/>
  <c r="J21" i="10" l="1"/>
  <c r="J20" i="10"/>
  <c r="J19" i="10"/>
  <c r="J18" i="10"/>
  <c r="J17" i="10"/>
  <c r="J16" i="10"/>
  <c r="J15" i="10"/>
  <c r="J14" i="10"/>
  <c r="J13" i="10"/>
  <c r="E43" i="6" l="1"/>
  <c r="G32" i="6"/>
  <c r="G35" i="6" s="1"/>
  <c r="G31" i="6"/>
  <c r="E47" i="6"/>
  <c r="E46" i="6"/>
  <c r="H28" i="6"/>
  <c r="C28" i="6"/>
  <c r="E45" i="6"/>
  <c r="E44" i="6"/>
  <c r="G33" i="6" l="1"/>
  <c r="F43" i="6" s="1"/>
  <c r="H43" i="6"/>
  <c r="H49" i="6" s="1"/>
  <c r="G34" i="6"/>
  <c r="H35" i="6" s="1"/>
  <c r="J35" i="6" s="1"/>
  <c r="J36" i="6" s="1"/>
  <c r="F46" i="6" l="1"/>
  <c r="F45" i="6"/>
  <c r="H45" i="6" s="1"/>
  <c r="H51" i="6" s="1"/>
  <c r="F44" i="6"/>
  <c r="H44" i="6" s="1"/>
  <c r="H50" i="6" s="1"/>
  <c r="H54" i="6" s="1"/>
  <c r="F47" i="6"/>
  <c r="H47" i="6" s="1"/>
  <c r="H53" i="6" s="1"/>
  <c r="H33" i="6"/>
  <c r="J33" i="6" s="1"/>
  <c r="H46" i="6"/>
  <c r="H52" i="6" s="1"/>
  <c r="J47" i="6" l="1"/>
  <c r="G46" i="6"/>
  <c r="J46" i="6" s="1"/>
  <c r="G43" i="6"/>
  <c r="J43" i="6" s="1"/>
  <c r="G45" i="6"/>
  <c r="J45" i="6" s="1"/>
  <c r="J34" i="6"/>
  <c r="G47" i="6"/>
  <c r="G44" i="6"/>
  <c r="J44" i="6" s="1"/>
  <c r="J28" i="10" l="1"/>
  <c r="J27" i="10"/>
  <c r="J38" i="10" s="1"/>
  <c r="J25" i="10"/>
  <c r="J26" i="10"/>
  <c r="J37" i="10" s="1"/>
  <c r="J32" i="10"/>
  <c r="J40" i="10" s="1"/>
  <c r="J24" i="10"/>
  <c r="J23" i="10"/>
  <c r="J22" i="10"/>
  <c r="J30" i="10"/>
  <c r="J31" i="10"/>
  <c r="J29" i="10"/>
  <c r="J39" i="10" s="1"/>
  <c r="F70" i="9" l="1"/>
  <c r="V41" i="10" l="1"/>
  <c r="U41" i="10"/>
  <c r="V40" i="10"/>
  <c r="U40" i="10"/>
  <c r="V39" i="10"/>
  <c r="U39" i="10"/>
  <c r="V38" i="10"/>
  <c r="U38" i="10"/>
  <c r="V37" i="10"/>
  <c r="U37" i="10"/>
  <c r="A78" i="11" l="1"/>
  <c r="A79" i="11"/>
  <c r="A80" i="11"/>
  <c r="A81" i="11"/>
  <c r="A4" i="11"/>
  <c r="A5" i="11"/>
  <c r="A6" i="11"/>
  <c r="A82" i="11"/>
  <c r="A7" i="11"/>
  <c r="A8" i="11"/>
  <c r="A9" i="11"/>
  <c r="A10" i="11"/>
  <c r="A83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84" i="11"/>
  <c r="A57" i="11"/>
  <c r="A85" i="11"/>
  <c r="A58" i="11"/>
  <c r="A86" i="11"/>
  <c r="A59" i="11"/>
  <c r="A60" i="11"/>
  <c r="A87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G28" i="10" l="1"/>
  <c r="AG17" i="10"/>
  <c r="AG33" i="10"/>
  <c r="AG34" i="10"/>
  <c r="AG35" i="10"/>
  <c r="AG36" i="10"/>
  <c r="AG20" i="10"/>
  <c r="AG30" i="10"/>
  <c r="AG19" i="10"/>
  <c r="AG18" i="10"/>
  <c r="AG31" i="10"/>
  <c r="AG29" i="10"/>
  <c r="AG27" i="10"/>
  <c r="AG23" i="10"/>
  <c r="AG14" i="10"/>
  <c r="AG21" i="10"/>
  <c r="AG32" i="10"/>
  <c r="AG26" i="10"/>
  <c r="AG22" i="10"/>
  <c r="AG13" i="10"/>
  <c r="AG25" i="10"/>
  <c r="AG16" i="10"/>
  <c r="AG24" i="10"/>
  <c r="AG15" i="10"/>
  <c r="A5" i="3" l="1"/>
  <c r="A6" i="3" s="1"/>
  <c r="A6" i="2"/>
  <c r="A7" i="2" s="1"/>
  <c r="E19" i="10" l="1"/>
  <c r="E13" i="10"/>
  <c r="E20" i="10"/>
  <c r="E16" i="10"/>
  <c r="E21" i="10"/>
  <c r="E17" i="10"/>
  <c r="E15" i="10"/>
  <c r="A8" i="2"/>
  <c r="E18" i="10"/>
  <c r="E14" i="10"/>
  <c r="A7" i="3"/>
  <c r="E25" i="10"/>
  <c r="E28" i="10"/>
  <c r="E30" i="10"/>
  <c r="E22" i="10"/>
  <c r="E27" i="10"/>
  <c r="E26" i="10"/>
  <c r="E23" i="10"/>
  <c r="E32" i="10"/>
  <c r="E24" i="10"/>
  <c r="E31" i="10"/>
  <c r="E29" i="10"/>
  <c r="T11" i="10"/>
  <c r="F20" i="9"/>
  <c r="A9" i="2" l="1"/>
  <c r="F13" i="10"/>
  <c r="F16" i="10"/>
  <c r="F17" i="10"/>
  <c r="F21" i="10"/>
  <c r="F20" i="10"/>
  <c r="F14" i="10"/>
  <c r="F15" i="10"/>
  <c r="F33" i="10"/>
  <c r="F34" i="10"/>
  <c r="F35" i="10"/>
  <c r="F36" i="10"/>
  <c r="F18" i="10"/>
  <c r="F19" i="10"/>
  <c r="T39" i="10"/>
  <c r="T40" i="10"/>
  <c r="T41" i="10"/>
  <c r="T37" i="10"/>
  <c r="T38" i="10"/>
  <c r="A8" i="3"/>
  <c r="F24" i="10"/>
  <c r="F23" i="10"/>
  <c r="F28" i="10"/>
  <c r="F22" i="10"/>
  <c r="F30" i="10"/>
  <c r="F25" i="10"/>
  <c r="F31" i="10"/>
  <c r="F26" i="10"/>
  <c r="F29" i="10"/>
  <c r="F27" i="10"/>
  <c r="F32" i="10"/>
  <c r="F61" i="9"/>
  <c r="F39" i="9"/>
  <c r="F30" i="9"/>
  <c r="I23" i="9"/>
  <c r="H23" i="9"/>
  <c r="F23" i="9"/>
  <c r="B11" i="9"/>
  <c r="B10" i="9"/>
  <c r="E9" i="9"/>
  <c r="E8" i="9"/>
  <c r="E7" i="9"/>
  <c r="J23" i="9" s="1"/>
  <c r="C16" i="8"/>
  <c r="B16" i="8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I35" i="10" l="1"/>
  <c r="I34" i="10"/>
  <c r="I33" i="10"/>
  <c r="I36" i="10"/>
  <c r="A10" i="2"/>
  <c r="I13" i="10"/>
  <c r="I16" i="10"/>
  <c r="I17" i="10"/>
  <c r="I20" i="10"/>
  <c r="I21" i="10"/>
  <c r="I19" i="10"/>
  <c r="I14" i="10"/>
  <c r="I18" i="10"/>
  <c r="I15" i="10"/>
  <c r="F71" i="9"/>
  <c r="F80" i="9"/>
  <c r="A9" i="3"/>
  <c r="I24" i="10"/>
  <c r="I25" i="10"/>
  <c r="I28" i="10"/>
  <c r="I30" i="10"/>
  <c r="I22" i="10"/>
  <c r="I31" i="10"/>
  <c r="I23" i="10"/>
  <c r="I29" i="10"/>
  <c r="I32" i="10"/>
  <c r="I26" i="10"/>
  <c r="I27" i="10"/>
  <c r="F62" i="9"/>
  <c r="F40" i="9"/>
  <c r="F49" i="9" s="1"/>
  <c r="F31" i="9"/>
  <c r="E11" i="9"/>
  <c r="D23" i="9"/>
  <c r="F77" i="9" l="1"/>
  <c r="F82" i="9" s="1"/>
  <c r="J38" i="6" s="1"/>
  <c r="J39" i="6" s="1"/>
  <c r="F46" i="9"/>
  <c r="F51" i="9" s="1"/>
  <c r="W37" i="10"/>
  <c r="W41" i="10"/>
  <c r="W40" i="10"/>
  <c r="W39" i="10"/>
  <c r="W38" i="10"/>
  <c r="D33" i="10"/>
  <c r="D36" i="10"/>
  <c r="D34" i="10"/>
  <c r="D35" i="10"/>
  <c r="A11" i="2"/>
  <c r="D17" i="10"/>
  <c r="D21" i="10"/>
  <c r="D20" i="10"/>
  <c r="D16" i="10"/>
  <c r="D13" i="10"/>
  <c r="D15" i="10"/>
  <c r="D18" i="10"/>
  <c r="D19" i="10"/>
  <c r="D14" i="10"/>
  <c r="F68" i="9"/>
  <c r="F73" i="9" s="1"/>
  <c r="A10" i="3"/>
  <c r="D22" i="10"/>
  <c r="D26" i="10"/>
  <c r="D24" i="10"/>
  <c r="D28" i="10"/>
  <c r="D32" i="10"/>
  <c r="D27" i="10"/>
  <c r="D25" i="10"/>
  <c r="D29" i="10"/>
  <c r="D31" i="10"/>
  <c r="D23" i="10"/>
  <c r="D30" i="10"/>
  <c r="F37" i="9"/>
  <c r="F42" i="9" s="1"/>
  <c r="F55" i="9" s="1"/>
  <c r="T9" i="10" s="1"/>
  <c r="F28" i="9"/>
  <c r="F33" i="9" s="1"/>
  <c r="F59" i="9"/>
  <c r="F64" i="9" s="1"/>
  <c r="G33" i="10" l="1"/>
  <c r="G34" i="10"/>
  <c r="G35" i="10"/>
  <c r="G36" i="10"/>
  <c r="A12" i="2"/>
  <c r="G21" i="10"/>
  <c r="G13" i="10"/>
  <c r="G16" i="10"/>
  <c r="G17" i="10"/>
  <c r="G20" i="10"/>
  <c r="G14" i="10"/>
  <c r="G15" i="10"/>
  <c r="G18" i="10"/>
  <c r="G19" i="10"/>
  <c r="T6" i="10"/>
  <c r="T7" i="10"/>
  <c r="T8" i="10"/>
  <c r="A11" i="3"/>
  <c r="G22" i="10"/>
  <c r="G26" i="10"/>
  <c r="G32" i="10"/>
  <c r="G23" i="10"/>
  <c r="G27" i="10"/>
  <c r="G29" i="10"/>
  <c r="G31" i="10"/>
  <c r="G25" i="10"/>
  <c r="G28" i="10"/>
  <c r="G24" i="10"/>
  <c r="G30" i="10"/>
  <c r="H34" i="10" l="1"/>
  <c r="H35" i="10"/>
  <c r="H33" i="10"/>
  <c r="H36" i="10"/>
  <c r="H13" i="10"/>
  <c r="H17" i="10"/>
  <c r="H21" i="10"/>
  <c r="H16" i="10"/>
  <c r="H20" i="10"/>
  <c r="H19" i="10"/>
  <c r="A13" i="2"/>
  <c r="H18" i="10"/>
  <c r="H15" i="10"/>
  <c r="H14" i="10"/>
  <c r="O36" i="10"/>
  <c r="O34" i="10"/>
  <c r="O33" i="10"/>
  <c r="O35" i="10"/>
  <c r="P33" i="10"/>
  <c r="P34" i="10"/>
  <c r="P36" i="10"/>
  <c r="P35" i="10"/>
  <c r="P39" i="10"/>
  <c r="O15" i="10"/>
  <c r="O19" i="10"/>
  <c r="P40" i="10"/>
  <c r="O16" i="10"/>
  <c r="P41" i="10"/>
  <c r="P38" i="10"/>
  <c r="O14" i="10"/>
  <c r="O18" i="10"/>
  <c r="O20" i="10"/>
  <c r="P37" i="10"/>
  <c r="O13" i="10"/>
  <c r="O21" i="10"/>
  <c r="O17" i="10"/>
  <c r="H25" i="10"/>
  <c r="H28" i="10"/>
  <c r="H30" i="10"/>
  <c r="H22" i="10"/>
  <c r="H26" i="10"/>
  <c r="H32" i="10"/>
  <c r="H23" i="10"/>
  <c r="H29" i="10"/>
  <c r="H24" i="10"/>
  <c r="A12" i="3"/>
  <c r="H27" i="10"/>
  <c r="H31" i="10"/>
  <c r="V13" i="10" l="1"/>
  <c r="U13" i="10"/>
  <c r="T13" i="10"/>
  <c r="W13" i="10"/>
  <c r="U19" i="10"/>
  <c r="V19" i="10"/>
  <c r="T19" i="10"/>
  <c r="W19" i="10"/>
  <c r="U17" i="10"/>
  <c r="V17" i="10"/>
  <c r="T17" i="10"/>
  <c r="W17" i="10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D21" i="10"/>
  <c r="AI21" i="10" s="1"/>
  <c r="AK21" i="10" s="1"/>
  <c r="AD14" i="10"/>
  <c r="AI14" i="10" s="1"/>
  <c r="AK14" i="10" s="1"/>
  <c r="AD19" i="10"/>
  <c r="AI19" i="10" s="1"/>
  <c r="AK19" i="10" s="1"/>
  <c r="AD18" i="10"/>
  <c r="AI18" i="10" s="1"/>
  <c r="AK18" i="10" s="1"/>
  <c r="AD16" i="10"/>
  <c r="AI16" i="10" s="1"/>
  <c r="AK16" i="10" s="1"/>
  <c r="AD20" i="10"/>
  <c r="AI20" i="10" s="1"/>
  <c r="AK20" i="10" s="1"/>
  <c r="AD13" i="10"/>
  <c r="AI13" i="10" s="1"/>
  <c r="AK13" i="10" s="1"/>
  <c r="AD15" i="10"/>
  <c r="AI15" i="10" s="1"/>
  <c r="AK15" i="10" s="1"/>
  <c r="AD17" i="10"/>
  <c r="AI17" i="10" s="1"/>
  <c r="AK17" i="10" s="1"/>
  <c r="W36" i="10"/>
  <c r="V36" i="10"/>
  <c r="U36" i="10"/>
  <c r="T36" i="10"/>
  <c r="V15" i="10"/>
  <c r="U15" i="10"/>
  <c r="T15" i="10"/>
  <c r="W15" i="10"/>
  <c r="AD35" i="10"/>
  <c r="AI35" i="10" s="1"/>
  <c r="AK35" i="10" s="1"/>
  <c r="AD33" i="10"/>
  <c r="AI33" i="10" s="1"/>
  <c r="AK33" i="10" s="1"/>
  <c r="AD34" i="10"/>
  <c r="AI34" i="10" s="1"/>
  <c r="AK34" i="10" s="1"/>
  <c r="AD36" i="10"/>
  <c r="AI36" i="10" s="1"/>
  <c r="AK36" i="10" s="1"/>
  <c r="U20" i="10"/>
  <c r="V20" i="10"/>
  <c r="T20" i="10"/>
  <c r="W20" i="10"/>
  <c r="W33" i="10"/>
  <c r="U33" i="10"/>
  <c r="V33" i="10"/>
  <c r="T33" i="10"/>
  <c r="V18" i="10"/>
  <c r="T18" i="10"/>
  <c r="U18" i="10"/>
  <c r="W18" i="10"/>
  <c r="U16" i="10"/>
  <c r="V16" i="10"/>
  <c r="T16" i="10"/>
  <c r="W16" i="10"/>
  <c r="W35" i="10"/>
  <c r="V35" i="10"/>
  <c r="U35" i="10"/>
  <c r="T35" i="10"/>
  <c r="U14" i="10"/>
  <c r="V14" i="10"/>
  <c r="T14" i="10"/>
  <c r="W14" i="10"/>
  <c r="U21" i="10"/>
  <c r="V21" i="10"/>
  <c r="T21" i="10"/>
  <c r="W21" i="10"/>
  <c r="V34" i="10"/>
  <c r="U34" i="10"/>
  <c r="T34" i="10"/>
  <c r="W34" i="10"/>
  <c r="Q35" i="10"/>
  <c r="Q36" i="10"/>
  <c r="Q33" i="10"/>
  <c r="Q34" i="10"/>
  <c r="U26" i="10"/>
  <c r="V26" i="10"/>
  <c r="W26" i="10"/>
  <c r="T26" i="10"/>
  <c r="U28" i="10"/>
  <c r="V28" i="10"/>
  <c r="W28" i="10"/>
  <c r="T28" i="10"/>
  <c r="V27" i="10"/>
  <c r="U27" i="10"/>
  <c r="T27" i="10"/>
  <c r="W27" i="10"/>
  <c r="V32" i="10"/>
  <c r="U32" i="10"/>
  <c r="T32" i="10"/>
  <c r="W32" i="10"/>
  <c r="V22" i="10"/>
  <c r="U22" i="10"/>
  <c r="T22" i="10"/>
  <c r="W22" i="10"/>
  <c r="U25" i="10"/>
  <c r="V25" i="10"/>
  <c r="W25" i="10"/>
  <c r="T25" i="10"/>
  <c r="V31" i="10"/>
  <c r="U31" i="10"/>
  <c r="W31" i="10"/>
  <c r="T31" i="10"/>
  <c r="AD25" i="10"/>
  <c r="AI25" i="10" s="1"/>
  <c r="AK25" i="10" s="1"/>
  <c r="AD28" i="10"/>
  <c r="AI28" i="10" s="1"/>
  <c r="AK28" i="10" s="1"/>
  <c r="AD30" i="10"/>
  <c r="AI30" i="10" s="1"/>
  <c r="AK30" i="10" s="1"/>
  <c r="AD22" i="10"/>
  <c r="AI22" i="10" s="1"/>
  <c r="AK22" i="10" s="1"/>
  <c r="AD26" i="10"/>
  <c r="AI26" i="10" s="1"/>
  <c r="AK26" i="10" s="1"/>
  <c r="AD32" i="10"/>
  <c r="AI32" i="10" s="1"/>
  <c r="AK32" i="10" s="1"/>
  <c r="AD27" i="10"/>
  <c r="AI27" i="10" s="1"/>
  <c r="AK27" i="10" s="1"/>
  <c r="AD31" i="10"/>
  <c r="AI31" i="10" s="1"/>
  <c r="AK31" i="10" s="1"/>
  <c r="AD24" i="10"/>
  <c r="AI24" i="10" s="1"/>
  <c r="AK24" i="10" s="1"/>
  <c r="AD23" i="10"/>
  <c r="AI23" i="10" s="1"/>
  <c r="AK23" i="10" s="1"/>
  <c r="AD29" i="10"/>
  <c r="AI29" i="10" s="1"/>
  <c r="AK29" i="10" s="1"/>
  <c r="A13" i="3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V29" i="10"/>
  <c r="U29" i="10"/>
  <c r="W29" i="10"/>
  <c r="T29" i="10"/>
  <c r="U24" i="10"/>
  <c r="V24" i="10"/>
  <c r="W24" i="10"/>
  <c r="T24" i="10"/>
  <c r="V23" i="10"/>
  <c r="U23" i="10"/>
  <c r="T23" i="10"/>
  <c r="W23" i="10"/>
  <c r="U30" i="10"/>
  <c r="V30" i="10"/>
  <c r="W30" i="10"/>
  <c r="T30" i="10"/>
  <c r="H5" i="6"/>
  <c r="H4" i="6"/>
  <c r="H3" i="6"/>
  <c r="Y35" i="10" l="1"/>
  <c r="AA35" i="10" s="1"/>
  <c r="AB35" i="10" s="1"/>
  <c r="Y36" i="10"/>
  <c r="AA36" i="10" s="1"/>
  <c r="AB36" i="10" s="1"/>
  <c r="A54" i="2"/>
  <c r="A55" i="2" s="1"/>
  <c r="A56" i="2" s="1"/>
  <c r="A57" i="2" s="1"/>
  <c r="Y33" i="10"/>
  <c r="AA33" i="10" s="1"/>
  <c r="AB33" i="10" s="1"/>
  <c r="Y34" i="10"/>
  <c r="AA34" i="10" s="1"/>
  <c r="AB34" i="10" s="1"/>
  <c r="A66" i="3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C82" i="3" l="1"/>
  <c r="F82" i="3"/>
  <c r="I56" i="2"/>
  <c r="M44" i="3"/>
  <c r="L44" i="3"/>
  <c r="K44" i="3"/>
  <c r="J44" i="3"/>
  <c r="I44" i="3"/>
  <c r="H44" i="3"/>
  <c r="G44" i="3"/>
  <c r="M41" i="3"/>
  <c r="L41" i="3"/>
  <c r="K41" i="3"/>
  <c r="J41" i="3"/>
  <c r="I41" i="3"/>
  <c r="H41" i="3"/>
  <c r="G41" i="3"/>
  <c r="D41" i="3"/>
  <c r="E41" i="3"/>
  <c r="F41" i="3"/>
  <c r="C41" i="3"/>
  <c r="M38" i="3"/>
  <c r="L38" i="3"/>
  <c r="K38" i="3"/>
  <c r="J38" i="3"/>
  <c r="I38" i="3"/>
  <c r="H38" i="3"/>
  <c r="G38" i="3"/>
  <c r="D38" i="3"/>
  <c r="E38" i="3"/>
  <c r="F38" i="3"/>
  <c r="C38" i="3"/>
  <c r="C34" i="3"/>
  <c r="D34" i="3"/>
  <c r="E34" i="3"/>
  <c r="F34" i="3"/>
  <c r="M34" i="3"/>
  <c r="L34" i="3"/>
  <c r="K34" i="3"/>
  <c r="J34" i="3"/>
  <c r="I34" i="3"/>
  <c r="H34" i="3"/>
  <c r="G34" i="3"/>
  <c r="M33" i="3"/>
  <c r="L33" i="3"/>
  <c r="K33" i="3"/>
  <c r="J33" i="3"/>
  <c r="I33" i="3"/>
  <c r="H33" i="3"/>
  <c r="D33" i="3"/>
  <c r="E33" i="3"/>
  <c r="F33" i="3"/>
  <c r="G33" i="3"/>
  <c r="C33" i="3"/>
  <c r="M32" i="3"/>
  <c r="L32" i="3"/>
  <c r="J32" i="3"/>
  <c r="K32" i="3"/>
  <c r="I32" i="3"/>
  <c r="H32" i="3"/>
  <c r="G32" i="3"/>
  <c r="D32" i="3"/>
  <c r="E32" i="3"/>
  <c r="F32" i="3"/>
  <c r="C32" i="3"/>
  <c r="M30" i="3"/>
  <c r="L30" i="3"/>
  <c r="K30" i="3"/>
  <c r="J30" i="3"/>
  <c r="I30" i="3"/>
  <c r="H30" i="3"/>
  <c r="D30" i="3"/>
  <c r="E30" i="3"/>
  <c r="F30" i="3"/>
  <c r="G30" i="3"/>
  <c r="C30" i="3"/>
  <c r="M29" i="3"/>
  <c r="L29" i="3"/>
  <c r="K29" i="3"/>
  <c r="J29" i="3"/>
  <c r="I29" i="3"/>
  <c r="H29" i="3"/>
  <c r="D29" i="3"/>
  <c r="E29" i="3"/>
  <c r="F29" i="3"/>
  <c r="G29" i="3"/>
  <c r="C29" i="3"/>
  <c r="M28" i="3"/>
  <c r="L28" i="3"/>
  <c r="K28" i="3"/>
  <c r="J28" i="3"/>
  <c r="I28" i="3"/>
  <c r="H28" i="3"/>
  <c r="D28" i="3"/>
  <c r="E28" i="3"/>
  <c r="F28" i="3"/>
  <c r="G28" i="3"/>
  <c r="C28" i="3"/>
  <c r="D27" i="3"/>
  <c r="E27" i="3"/>
  <c r="F27" i="3"/>
  <c r="C27" i="3"/>
  <c r="K26" i="3"/>
  <c r="J26" i="3"/>
  <c r="I26" i="3"/>
  <c r="H26" i="3"/>
  <c r="G26" i="3"/>
  <c r="D26" i="3"/>
  <c r="E26" i="3"/>
  <c r="F26" i="3"/>
  <c r="C26" i="3"/>
  <c r="D23" i="3"/>
  <c r="E23" i="3"/>
  <c r="F23" i="3"/>
  <c r="G23" i="3"/>
  <c r="H23" i="3"/>
  <c r="I23" i="3"/>
  <c r="J23" i="3"/>
  <c r="K23" i="3"/>
  <c r="L23" i="3"/>
  <c r="M23" i="3"/>
  <c r="C23" i="3"/>
  <c r="J22" i="3"/>
  <c r="K22" i="3"/>
  <c r="I22" i="3"/>
  <c r="D22" i="3"/>
  <c r="E22" i="3"/>
  <c r="F22" i="3"/>
  <c r="C22" i="3"/>
  <c r="D37" i="2"/>
  <c r="E37" i="2"/>
  <c r="F37" i="2"/>
  <c r="G37" i="2"/>
  <c r="H37" i="2"/>
  <c r="I37" i="2"/>
  <c r="J37" i="2"/>
  <c r="K37" i="2"/>
  <c r="C37" i="2"/>
  <c r="D36" i="2"/>
  <c r="E36" i="2"/>
  <c r="F36" i="2"/>
  <c r="G36" i="2"/>
  <c r="H36" i="2"/>
  <c r="I36" i="2"/>
  <c r="J36" i="2"/>
  <c r="K36" i="2"/>
  <c r="C36" i="2"/>
  <c r="D35" i="2"/>
  <c r="E35" i="2"/>
  <c r="F35" i="2"/>
  <c r="G35" i="2"/>
  <c r="H35" i="2"/>
  <c r="I35" i="2"/>
  <c r="J35" i="2"/>
  <c r="K35" i="2"/>
  <c r="C35" i="2"/>
  <c r="D34" i="2"/>
  <c r="E34" i="2"/>
  <c r="F34" i="2"/>
  <c r="G34" i="2"/>
  <c r="H34" i="2"/>
  <c r="I34" i="2"/>
  <c r="J34" i="2"/>
  <c r="K34" i="2"/>
  <c r="C34" i="2"/>
  <c r="D33" i="2"/>
  <c r="E33" i="2"/>
  <c r="F33" i="2"/>
  <c r="G33" i="2"/>
  <c r="H33" i="2"/>
  <c r="I33" i="2"/>
  <c r="J33" i="2"/>
  <c r="K33" i="2"/>
  <c r="C33" i="2"/>
  <c r="D32" i="2"/>
  <c r="E32" i="2"/>
  <c r="F32" i="2"/>
  <c r="G32" i="2"/>
  <c r="H32" i="2"/>
  <c r="I32" i="2"/>
  <c r="J32" i="2"/>
  <c r="K32" i="2"/>
  <c r="C32" i="2"/>
  <c r="D31" i="2"/>
  <c r="E31" i="2"/>
  <c r="F31" i="2"/>
  <c r="G31" i="2"/>
  <c r="H31" i="2"/>
  <c r="I31" i="2"/>
  <c r="J31" i="2"/>
  <c r="K31" i="2"/>
  <c r="C31" i="2"/>
  <c r="D28" i="2"/>
  <c r="E28" i="2"/>
  <c r="F28" i="2"/>
  <c r="G28" i="2"/>
  <c r="H28" i="2"/>
  <c r="I28" i="2"/>
  <c r="J28" i="2"/>
  <c r="K28" i="2"/>
  <c r="C28" i="2"/>
  <c r="D27" i="2"/>
  <c r="E27" i="2"/>
  <c r="F27" i="2"/>
  <c r="G27" i="2"/>
  <c r="H27" i="2"/>
  <c r="I27" i="2"/>
  <c r="J27" i="2"/>
  <c r="K27" i="2"/>
  <c r="C27" i="2"/>
  <c r="D26" i="2"/>
  <c r="E26" i="2"/>
  <c r="F26" i="2"/>
  <c r="G26" i="2"/>
  <c r="H26" i="2"/>
  <c r="I26" i="2"/>
  <c r="J26" i="2"/>
  <c r="K26" i="2"/>
  <c r="C26" i="2"/>
  <c r="D25" i="2"/>
  <c r="E25" i="2"/>
  <c r="F25" i="2"/>
  <c r="G25" i="2"/>
  <c r="H25" i="2"/>
  <c r="I25" i="2"/>
  <c r="J25" i="2"/>
  <c r="K25" i="2"/>
  <c r="C25" i="2"/>
  <c r="I24" i="2"/>
  <c r="J24" i="2"/>
  <c r="K24" i="2"/>
  <c r="H24" i="2"/>
  <c r="E23" i="2"/>
  <c r="F23" i="2"/>
  <c r="G23" i="2"/>
  <c r="D23" i="2"/>
  <c r="J38" i="5"/>
  <c r="J39" i="5"/>
  <c r="J40" i="5"/>
  <c r="J42" i="5"/>
  <c r="J43" i="5"/>
  <c r="J44" i="5"/>
  <c r="J37" i="5"/>
  <c r="K43" i="6" l="1"/>
  <c r="J72" i="3"/>
  <c r="M72" i="3"/>
  <c r="I72" i="3"/>
  <c r="L72" i="3"/>
  <c r="G72" i="3"/>
  <c r="K72" i="3"/>
  <c r="H72" i="3"/>
  <c r="J82" i="3"/>
  <c r="G56" i="2"/>
  <c r="D82" i="3"/>
  <c r="K82" i="3"/>
  <c r="K47" i="6"/>
  <c r="I82" i="3"/>
  <c r="J56" i="2"/>
  <c r="G82" i="3"/>
  <c r="K46" i="6"/>
  <c r="E56" i="2"/>
  <c r="J45" i="5"/>
  <c r="K40" i="5" s="1"/>
  <c r="L40" i="5" s="1"/>
  <c r="H56" i="2"/>
  <c r="E82" i="3"/>
  <c r="F56" i="2"/>
  <c r="M82" i="3"/>
  <c r="K45" i="6"/>
  <c r="D56" i="2"/>
  <c r="C56" i="2"/>
  <c r="N82" i="3"/>
  <c r="O82" i="3"/>
  <c r="P82" i="3"/>
  <c r="Q82" i="3"/>
  <c r="L82" i="3"/>
  <c r="K44" i="6"/>
  <c r="K56" i="2"/>
  <c r="H82" i="3"/>
  <c r="K43" i="5" l="1"/>
  <c r="L43" i="5" s="1"/>
  <c r="K37" i="5"/>
  <c r="L37" i="5" s="1"/>
  <c r="K39" i="5"/>
  <c r="L39" i="5" s="1"/>
  <c r="K42" i="5"/>
  <c r="L42" i="5" s="1"/>
  <c r="K44" i="5"/>
  <c r="L44" i="5" s="1"/>
  <c r="K38" i="5"/>
  <c r="L38" i="5" s="1"/>
  <c r="R36" i="10"/>
  <c r="Q84" i="3"/>
  <c r="R35" i="10"/>
  <c r="S35" i="10" s="1"/>
  <c r="X35" i="10" s="1"/>
  <c r="Z35" i="10" s="1"/>
  <c r="AC35" i="10" s="1"/>
  <c r="P84" i="3"/>
  <c r="R34" i="10"/>
  <c r="S34" i="10" s="1"/>
  <c r="X34" i="10" s="1"/>
  <c r="O84" i="3"/>
  <c r="R33" i="10"/>
  <c r="S33" i="10" s="1"/>
  <c r="X33" i="10" s="1"/>
  <c r="Z33" i="10" s="1"/>
  <c r="AC33" i="10" s="1"/>
  <c r="N84" i="3"/>
  <c r="L45" i="5" l="1"/>
  <c r="J23" i="2" s="1"/>
  <c r="S36" i="10"/>
  <c r="X36" i="10" s="1"/>
  <c r="Z36" i="10" s="1"/>
  <c r="AC36" i="10" s="1"/>
  <c r="AE36" i="10" s="1"/>
  <c r="AF36" i="10" s="1"/>
  <c r="R37" i="10"/>
  <c r="R38" i="10" s="1"/>
  <c r="R39" i="10" s="1"/>
  <c r="R40" i="10" s="1"/>
  <c r="R41" i="10" s="1"/>
  <c r="S41" i="10" s="1"/>
  <c r="AH33" i="10"/>
  <c r="AJ33" i="10" s="1"/>
  <c r="AE33" i="10"/>
  <c r="AF33" i="10" s="1"/>
  <c r="Z34" i="10"/>
  <c r="AC34" i="10" s="1"/>
  <c r="AH35" i="10"/>
  <c r="AJ35" i="10" s="1"/>
  <c r="AE35" i="10"/>
  <c r="AF35" i="10" s="1"/>
  <c r="R19" i="10"/>
  <c r="R21" i="10"/>
  <c r="R23" i="10"/>
  <c r="R22" i="10"/>
  <c r="R27" i="10"/>
  <c r="R16" i="10"/>
  <c r="R14" i="10"/>
  <c r="R17" i="10"/>
  <c r="R18" i="10"/>
  <c r="R20" i="10"/>
  <c r="R32" i="10"/>
  <c r="R26" i="10"/>
  <c r="R25" i="10"/>
  <c r="R30" i="10"/>
  <c r="R13" i="10"/>
  <c r="R15" i="10"/>
  <c r="R29" i="10"/>
  <c r="R28" i="10"/>
  <c r="R31" i="10"/>
  <c r="R24" i="10"/>
  <c r="O41" i="10"/>
  <c r="I55" i="3"/>
  <c r="I56" i="3"/>
  <c r="I57" i="3"/>
  <c r="I58" i="3"/>
  <c r="K23" i="2" l="1"/>
  <c r="S40" i="10"/>
  <c r="H23" i="2"/>
  <c r="AH36" i="10"/>
  <c r="AJ36" i="10" s="1"/>
  <c r="I23" i="2"/>
  <c r="S37" i="10"/>
  <c r="S39" i="10"/>
  <c r="S38" i="10"/>
  <c r="AE34" i="10"/>
  <c r="AF34" i="10" s="1"/>
  <c r="AH34" i="10"/>
  <c r="AJ34" i="10" s="1"/>
  <c r="O40" i="10"/>
  <c r="O37" i="10"/>
  <c r="Q41" i="10"/>
  <c r="L41" i="10"/>
  <c r="O38" i="10"/>
  <c r="O39" i="10"/>
  <c r="D48" i="2"/>
  <c r="E48" i="2"/>
  <c r="F48" i="2"/>
  <c r="G48" i="2"/>
  <c r="H48" i="2"/>
  <c r="I48" i="2"/>
  <c r="J48" i="2"/>
  <c r="K48" i="2"/>
  <c r="C48" i="2"/>
  <c r="D45" i="2"/>
  <c r="E45" i="2"/>
  <c r="F45" i="2"/>
  <c r="G45" i="2"/>
  <c r="H45" i="2"/>
  <c r="I45" i="2"/>
  <c r="J45" i="2"/>
  <c r="K45" i="2"/>
  <c r="C45" i="2"/>
  <c r="D44" i="2"/>
  <c r="E44" i="2"/>
  <c r="F44" i="2"/>
  <c r="G44" i="2"/>
  <c r="H44" i="2"/>
  <c r="I44" i="2"/>
  <c r="J44" i="2"/>
  <c r="K44" i="2"/>
  <c r="C44" i="2"/>
  <c r="X41" i="10" l="1"/>
  <c r="Q38" i="10"/>
  <c r="L38" i="10"/>
  <c r="Q39" i="10"/>
  <c r="L39" i="10"/>
  <c r="Q37" i="10"/>
  <c r="L37" i="10"/>
  <c r="L40" i="10"/>
  <c r="Q40" i="10"/>
  <c r="X40" i="10" s="1"/>
  <c r="Z40" i="10" s="1"/>
  <c r="D47" i="2"/>
  <c r="K18" i="2"/>
  <c r="J18" i="2"/>
  <c r="I18" i="2"/>
  <c r="H18" i="2"/>
  <c r="G18" i="2"/>
  <c r="F18" i="2"/>
  <c r="E18" i="2"/>
  <c r="D18" i="2"/>
  <c r="C18" i="2"/>
  <c r="S16" i="10" l="1"/>
  <c r="C57" i="2"/>
  <c r="S15" i="10"/>
  <c r="K57" i="2"/>
  <c r="S18" i="10"/>
  <c r="D57" i="2"/>
  <c r="S17" i="10"/>
  <c r="H57" i="2"/>
  <c r="S19" i="10"/>
  <c r="E57" i="2"/>
  <c r="S20" i="10"/>
  <c r="F57" i="2"/>
  <c r="S14" i="10"/>
  <c r="J57" i="2"/>
  <c r="S21" i="10"/>
  <c r="G57" i="2"/>
  <c r="S13" i="10"/>
  <c r="I57" i="2"/>
  <c r="Z41" i="10"/>
  <c r="AC41" i="10" s="1"/>
  <c r="X37" i="10"/>
  <c r="X39" i="10"/>
  <c r="X38" i="10"/>
  <c r="AC40" i="10"/>
  <c r="M53" i="3"/>
  <c r="L53" i="3"/>
  <c r="K53" i="3"/>
  <c r="J53" i="3"/>
  <c r="I53" i="3"/>
  <c r="H53" i="3"/>
  <c r="G53" i="3"/>
  <c r="F53" i="3"/>
  <c r="E53" i="3"/>
  <c r="D53" i="3"/>
  <c r="C53" i="3"/>
  <c r="Z39" i="10" l="1"/>
  <c r="AC39" i="10" s="1"/>
  <c r="Z37" i="10"/>
  <c r="AC37" i="10" s="1"/>
  <c r="Z38" i="10"/>
  <c r="AC38" i="10" s="1"/>
  <c r="M62" i="3"/>
  <c r="D62" i="3"/>
  <c r="E62" i="3"/>
  <c r="F62" i="3"/>
  <c r="G62" i="3"/>
  <c r="H62" i="3"/>
  <c r="I62" i="3"/>
  <c r="J62" i="3"/>
  <c r="K62" i="3"/>
  <c r="L62" i="3"/>
  <c r="C62" i="3"/>
  <c r="D59" i="3"/>
  <c r="E59" i="3"/>
  <c r="F59" i="3"/>
  <c r="C59" i="3"/>
  <c r="D58" i="3"/>
  <c r="E58" i="3"/>
  <c r="F58" i="3"/>
  <c r="C58" i="3"/>
  <c r="H58" i="3"/>
  <c r="J58" i="3"/>
  <c r="K58" i="3"/>
  <c r="L58" i="3"/>
  <c r="M58" i="3"/>
  <c r="G58" i="3"/>
  <c r="C57" i="3"/>
  <c r="D57" i="3"/>
  <c r="E57" i="3"/>
  <c r="F57" i="3"/>
  <c r="C56" i="3"/>
  <c r="D56" i="3"/>
  <c r="E56" i="3"/>
  <c r="F56" i="3"/>
  <c r="C55" i="3"/>
  <c r="D55" i="3"/>
  <c r="E55" i="3"/>
  <c r="F55" i="3"/>
  <c r="H57" i="3"/>
  <c r="J57" i="3"/>
  <c r="K57" i="3"/>
  <c r="L57" i="3"/>
  <c r="M57" i="3"/>
  <c r="G57" i="3"/>
  <c r="H56" i="3"/>
  <c r="J56" i="3"/>
  <c r="K56" i="3"/>
  <c r="L56" i="3"/>
  <c r="M56" i="3"/>
  <c r="G56" i="3"/>
  <c r="H55" i="3"/>
  <c r="J55" i="3"/>
  <c r="K55" i="3"/>
  <c r="L55" i="3"/>
  <c r="M55" i="3"/>
  <c r="G55" i="3"/>
  <c r="D54" i="3"/>
  <c r="E54" i="3"/>
  <c r="F54" i="3"/>
  <c r="C54" i="3"/>
  <c r="D52" i="3"/>
  <c r="E52" i="3"/>
  <c r="F52" i="3"/>
  <c r="G52" i="3"/>
  <c r="H52" i="3"/>
  <c r="I52" i="3"/>
  <c r="J52" i="3"/>
  <c r="K52" i="3"/>
  <c r="L52" i="3"/>
  <c r="M52" i="3"/>
  <c r="C52" i="3"/>
  <c r="D51" i="3"/>
  <c r="E51" i="3"/>
  <c r="E69" i="3" s="1"/>
  <c r="F51" i="3"/>
  <c r="G51" i="3"/>
  <c r="H51" i="3"/>
  <c r="H69" i="3" s="1"/>
  <c r="I51" i="3"/>
  <c r="J51" i="3"/>
  <c r="K51" i="3"/>
  <c r="L51" i="3"/>
  <c r="M51" i="3"/>
  <c r="C51" i="3"/>
  <c r="C47" i="3"/>
  <c r="D47" i="3"/>
  <c r="E47" i="3"/>
  <c r="F47" i="3"/>
  <c r="G47" i="3"/>
  <c r="G73" i="3" s="1"/>
  <c r="H47" i="3"/>
  <c r="H73" i="3" s="1"/>
  <c r="I47" i="3"/>
  <c r="I73" i="3" s="1"/>
  <c r="J47" i="3"/>
  <c r="J73" i="3" s="1"/>
  <c r="K47" i="3"/>
  <c r="K73" i="3" s="1"/>
  <c r="L47" i="3"/>
  <c r="L73" i="3" s="1"/>
  <c r="M47" i="3"/>
  <c r="M73" i="3" s="1"/>
  <c r="D44" i="3"/>
  <c r="E44" i="3"/>
  <c r="F44" i="3"/>
  <c r="C44" i="3"/>
  <c r="D43" i="3"/>
  <c r="E43" i="3"/>
  <c r="F43" i="3"/>
  <c r="C43" i="3"/>
  <c r="D42" i="3"/>
  <c r="E42" i="3"/>
  <c r="F42" i="3"/>
  <c r="C42" i="3"/>
  <c r="F17" i="3"/>
  <c r="F67" i="3" s="1"/>
  <c r="E17" i="3"/>
  <c r="E67" i="3" s="1"/>
  <c r="D17" i="3"/>
  <c r="D67" i="3" s="1"/>
  <c r="C17" i="3"/>
  <c r="C67" i="3" s="1"/>
  <c r="L17" i="3"/>
  <c r="L67" i="3" s="1"/>
  <c r="M17" i="3"/>
  <c r="M67" i="3" s="1"/>
  <c r="K17" i="3"/>
  <c r="K67" i="3" s="1"/>
  <c r="J17" i="3"/>
  <c r="J67" i="3" s="1"/>
  <c r="I17" i="3"/>
  <c r="I67" i="3" s="1"/>
  <c r="H17" i="3"/>
  <c r="H67" i="3" s="1"/>
  <c r="G17" i="3"/>
  <c r="G67" i="3" s="1"/>
  <c r="D31" i="3"/>
  <c r="E31" i="3"/>
  <c r="F31" i="3"/>
  <c r="C31" i="3"/>
  <c r="D49" i="2"/>
  <c r="E47" i="2"/>
  <c r="E49" i="2" s="1"/>
  <c r="F47" i="2"/>
  <c r="F49" i="2" s="1"/>
  <c r="G47" i="2"/>
  <c r="G49" i="2" s="1"/>
  <c r="H47" i="2"/>
  <c r="H49" i="2" s="1"/>
  <c r="I47" i="2"/>
  <c r="I49" i="2" s="1"/>
  <c r="J47" i="2"/>
  <c r="J49" i="2" s="1"/>
  <c r="K47" i="2"/>
  <c r="K49" i="2" s="1"/>
  <c r="C47" i="2"/>
  <c r="C49" i="2" s="1"/>
  <c r="D39" i="2"/>
  <c r="D41" i="2" s="1"/>
  <c r="E39" i="2"/>
  <c r="E41" i="2" s="1"/>
  <c r="F39" i="2"/>
  <c r="F41" i="2" s="1"/>
  <c r="G39" i="2"/>
  <c r="G41" i="2" s="1"/>
  <c r="H39" i="2"/>
  <c r="H41" i="2" s="1"/>
  <c r="I39" i="2"/>
  <c r="I41" i="2" s="1"/>
  <c r="J39" i="2"/>
  <c r="J41" i="2" s="1"/>
  <c r="K39" i="2"/>
  <c r="K41" i="2" s="1"/>
  <c r="C39" i="2"/>
  <c r="C41" i="2" s="1"/>
  <c r="D72" i="3" l="1"/>
  <c r="D73" i="3" s="1"/>
  <c r="C69" i="3"/>
  <c r="J69" i="3"/>
  <c r="F72" i="3"/>
  <c r="F73" i="3" s="1"/>
  <c r="F68" i="3"/>
  <c r="C68" i="3"/>
  <c r="C70" i="3" s="1"/>
  <c r="L68" i="3"/>
  <c r="M68" i="3"/>
  <c r="E72" i="3"/>
  <c r="E73" i="3" s="1"/>
  <c r="H68" i="3"/>
  <c r="H70" i="3" s="1"/>
  <c r="J68" i="3"/>
  <c r="J70" i="3" s="1"/>
  <c r="F69" i="3"/>
  <c r="F70" i="3" s="1"/>
  <c r="I74" i="3"/>
  <c r="I75" i="3" s="1"/>
  <c r="G74" i="3"/>
  <c r="G75" i="3" s="1"/>
  <c r="C72" i="3"/>
  <c r="C73" i="3" s="1"/>
  <c r="G68" i="3"/>
  <c r="I68" i="3"/>
  <c r="K68" i="3"/>
  <c r="L69" i="3"/>
  <c r="L70" i="3" s="1"/>
  <c r="D69" i="3"/>
  <c r="E68" i="3"/>
  <c r="E70" i="3" s="1"/>
  <c r="M74" i="3"/>
  <c r="M75" i="3" s="1"/>
  <c r="C74" i="3"/>
  <c r="F74" i="3"/>
  <c r="K74" i="3"/>
  <c r="K75" i="3" s="1"/>
  <c r="K69" i="3"/>
  <c r="I69" i="3"/>
  <c r="G69" i="3"/>
  <c r="L74" i="3"/>
  <c r="L75" i="3" s="1"/>
  <c r="J74" i="3"/>
  <c r="J75" i="3" s="1"/>
  <c r="H74" i="3"/>
  <c r="H75" i="3" s="1"/>
  <c r="E74" i="3"/>
  <c r="D68" i="3"/>
  <c r="M69" i="3"/>
  <c r="D74" i="3"/>
  <c r="S32" i="10"/>
  <c r="S24" i="10"/>
  <c r="S25" i="10"/>
  <c r="I61" i="3"/>
  <c r="I63" i="3" s="1"/>
  <c r="C61" i="3"/>
  <c r="C63" i="3" s="1"/>
  <c r="K61" i="3"/>
  <c r="K63" i="3" s="1"/>
  <c r="G61" i="3"/>
  <c r="G63" i="3" s="1"/>
  <c r="M61" i="3"/>
  <c r="M63" i="3" s="1"/>
  <c r="L61" i="3"/>
  <c r="L63" i="3" s="1"/>
  <c r="J61" i="3"/>
  <c r="J63" i="3" s="1"/>
  <c r="H61" i="3"/>
  <c r="H63" i="3" s="1"/>
  <c r="C51" i="2"/>
  <c r="K16" i="10" s="1"/>
  <c r="P16" i="10" s="1"/>
  <c r="I51" i="2"/>
  <c r="K13" i="10" s="1"/>
  <c r="P13" i="10" s="1"/>
  <c r="E51" i="2"/>
  <c r="K19" i="10" s="1"/>
  <c r="P19" i="10" s="1"/>
  <c r="H51" i="2"/>
  <c r="K17" i="10" s="1"/>
  <c r="P17" i="10" s="1"/>
  <c r="D51" i="2"/>
  <c r="K18" i="10" s="1"/>
  <c r="P18" i="10" s="1"/>
  <c r="K51" i="2"/>
  <c r="K15" i="10" s="1"/>
  <c r="P15" i="10" s="1"/>
  <c r="G51" i="2"/>
  <c r="K21" i="10" s="1"/>
  <c r="P21" i="10" s="1"/>
  <c r="J51" i="2"/>
  <c r="K14" i="10" s="1"/>
  <c r="P14" i="10" s="1"/>
  <c r="F51" i="2"/>
  <c r="K20" i="10" s="1"/>
  <c r="P20" i="10" s="1"/>
  <c r="E61" i="3"/>
  <c r="E63" i="3" s="1"/>
  <c r="F61" i="3"/>
  <c r="F63" i="3" s="1"/>
  <c r="D61" i="3"/>
  <c r="D63" i="3" s="1"/>
  <c r="C46" i="3"/>
  <c r="C48" i="3" s="1"/>
  <c r="G46" i="3"/>
  <c r="G48" i="3" s="1"/>
  <c r="H46" i="3"/>
  <c r="H48" i="3" s="1"/>
  <c r="E46" i="3"/>
  <c r="E48" i="3" s="1"/>
  <c r="L46" i="3"/>
  <c r="L48" i="3" s="1"/>
  <c r="J46" i="3"/>
  <c r="J48" i="3" s="1"/>
  <c r="D46" i="3"/>
  <c r="D48" i="3" s="1"/>
  <c r="I46" i="3"/>
  <c r="I48" i="3" s="1"/>
  <c r="K46" i="3"/>
  <c r="K48" i="3" s="1"/>
  <c r="F46" i="3"/>
  <c r="F48" i="3" s="1"/>
  <c r="M46" i="3"/>
  <c r="M48" i="3" s="1"/>
  <c r="E75" i="3" l="1"/>
  <c r="M70" i="3"/>
  <c r="D70" i="3"/>
  <c r="K70" i="3"/>
  <c r="G70" i="3"/>
  <c r="F75" i="3"/>
  <c r="C75" i="3"/>
  <c r="G65" i="3"/>
  <c r="I70" i="3"/>
  <c r="D75" i="3"/>
  <c r="F84" i="3"/>
  <c r="C84" i="3"/>
  <c r="L84" i="3"/>
  <c r="S22" i="10"/>
  <c r="D84" i="3"/>
  <c r="S31" i="10"/>
  <c r="K84" i="3"/>
  <c r="S27" i="10"/>
  <c r="G84" i="3"/>
  <c r="S30" i="10"/>
  <c r="J84" i="3"/>
  <c r="S28" i="10"/>
  <c r="H84" i="3"/>
  <c r="K28" i="10"/>
  <c r="P28" i="10" s="1"/>
  <c r="Y28" i="10" s="1"/>
  <c r="S23" i="10"/>
  <c r="E84" i="3"/>
  <c r="S26" i="10"/>
  <c r="M84" i="3"/>
  <c r="S29" i="10"/>
  <c r="I84" i="3"/>
  <c r="L13" i="10"/>
  <c r="Q13" i="10"/>
  <c r="X13" i="10" s="1"/>
  <c r="L14" i="10"/>
  <c r="Q14" i="10"/>
  <c r="X14" i="10" s="1"/>
  <c r="L17" i="10"/>
  <c r="Q17" i="10"/>
  <c r="X17" i="10" s="1"/>
  <c r="L21" i="10"/>
  <c r="Q21" i="10"/>
  <c r="X21" i="10" s="1"/>
  <c r="L19" i="10"/>
  <c r="Q19" i="10"/>
  <c r="X19" i="10" s="1"/>
  <c r="L15" i="10"/>
  <c r="Q15" i="10"/>
  <c r="X15" i="10" s="1"/>
  <c r="L20" i="10"/>
  <c r="Q20" i="10"/>
  <c r="X20" i="10" s="1"/>
  <c r="L18" i="10"/>
  <c r="Q18" i="10"/>
  <c r="X18" i="10" s="1"/>
  <c r="L16" i="10"/>
  <c r="Q16" i="10"/>
  <c r="X16" i="10" s="1"/>
  <c r="M65" i="3"/>
  <c r="I65" i="3"/>
  <c r="H65" i="3"/>
  <c r="F65" i="3"/>
  <c r="C65" i="3"/>
  <c r="K65" i="3"/>
  <c r="L65" i="3"/>
  <c r="E65" i="3"/>
  <c r="D65" i="3"/>
  <c r="J65" i="3"/>
  <c r="K25" i="10" l="1"/>
  <c r="P25" i="10" s="1"/>
  <c r="K30" i="10"/>
  <c r="P30" i="10" s="1"/>
  <c r="K24" i="10"/>
  <c r="P24" i="10" s="1"/>
  <c r="K26" i="10"/>
  <c r="P26" i="10" s="1"/>
  <c r="K29" i="10"/>
  <c r="P29" i="10" s="1"/>
  <c r="K31" i="10"/>
  <c r="P31" i="10" s="1"/>
  <c r="Y31" i="10" s="1"/>
  <c r="K32" i="10"/>
  <c r="P32" i="10" s="1"/>
  <c r="K27" i="10"/>
  <c r="P27" i="10" s="1"/>
  <c r="K22" i="10"/>
  <c r="P22" i="10" s="1"/>
  <c r="K23" i="10"/>
  <c r="P23" i="10" s="1"/>
  <c r="AA28" i="10"/>
  <c r="AB28" i="10" s="1"/>
  <c r="O28" i="10"/>
  <c r="O26" i="10"/>
  <c r="O22" i="10"/>
  <c r="O23" i="10"/>
  <c r="O24" i="10"/>
  <c r="O31" i="10"/>
  <c r="O27" i="10"/>
  <c r="O30" i="10"/>
  <c r="O29" i="10"/>
  <c r="O32" i="10"/>
  <c r="O25" i="10"/>
  <c r="Z16" i="10"/>
  <c r="AC16" i="10" s="1"/>
  <c r="Z20" i="10"/>
  <c r="AC20" i="10" s="1"/>
  <c r="Z15" i="10"/>
  <c r="AC15" i="10" s="1"/>
  <c r="Z14" i="10"/>
  <c r="AC14" i="10" s="1"/>
  <c r="Z18" i="10"/>
  <c r="AC18" i="10" s="1"/>
  <c r="Z13" i="10"/>
  <c r="AC13" i="10" s="1"/>
  <c r="Z19" i="10"/>
  <c r="AC19" i="10" s="1"/>
  <c r="Z17" i="10"/>
  <c r="AC17" i="10" s="1"/>
  <c r="Z21" i="10"/>
  <c r="AC21" i="10" s="1"/>
  <c r="Y22" i="10" l="1"/>
  <c r="AA22" i="10" s="1"/>
  <c r="AB22" i="10" s="1"/>
  <c r="Y32" i="10"/>
  <c r="AA32" i="10" s="1"/>
  <c r="AB32" i="10" s="1"/>
  <c r="Y29" i="10"/>
  <c r="AA29" i="10" s="1"/>
  <c r="AB29" i="10" s="1"/>
  <c r="Y24" i="10"/>
  <c r="AA24" i="10" s="1"/>
  <c r="AB24" i="10" s="1"/>
  <c r="Y23" i="10"/>
  <c r="AA23" i="10" s="1"/>
  <c r="AB23" i="10" s="1"/>
  <c r="Y27" i="10"/>
  <c r="AA27" i="10" s="1"/>
  <c r="AB27" i="10" s="1"/>
  <c r="Y26" i="10"/>
  <c r="AA26" i="10" s="1"/>
  <c r="AB26" i="10" s="1"/>
  <c r="Y30" i="10"/>
  <c r="AA30" i="10" s="1"/>
  <c r="AB30" i="10" s="1"/>
  <c r="Y25" i="10"/>
  <c r="AA25" i="10" s="1"/>
  <c r="AB25" i="10" s="1"/>
  <c r="AA31" i="10"/>
  <c r="AB31" i="10" s="1"/>
  <c r="L32" i="10"/>
  <c r="Q32" i="10"/>
  <c r="L27" i="10"/>
  <c r="Q27" i="10"/>
  <c r="L26" i="10"/>
  <c r="Q26" i="10"/>
  <c r="X26" i="10" s="1"/>
  <c r="Z26" i="10" s="1"/>
  <c r="L25" i="10"/>
  <c r="Q25" i="10"/>
  <c r="X25" i="10" s="1"/>
  <c r="Z25" i="10" s="1"/>
  <c r="L29" i="10"/>
  <c r="Q29" i="10"/>
  <c r="L30" i="10"/>
  <c r="Q30" i="10"/>
  <c r="L31" i="10"/>
  <c r="Q31" i="10"/>
  <c r="L23" i="10"/>
  <c r="Q23" i="10"/>
  <c r="L22" i="10"/>
  <c r="Q22" i="10"/>
  <c r="L24" i="10"/>
  <c r="Q24" i="10"/>
  <c r="L28" i="10"/>
  <c r="Q28" i="10"/>
  <c r="AE17" i="10"/>
  <c r="AF17" i="10" s="1"/>
  <c r="AH17" i="10"/>
  <c r="AJ17" i="10" s="1"/>
  <c r="AE16" i="10"/>
  <c r="AF16" i="10" s="1"/>
  <c r="AH16" i="10"/>
  <c r="AJ16" i="10" s="1"/>
  <c r="AE20" i="10"/>
  <c r="AF20" i="10" s="1"/>
  <c r="AH20" i="10"/>
  <c r="AJ20" i="10" s="1"/>
  <c r="AH21" i="10"/>
  <c r="AJ21" i="10" s="1"/>
  <c r="AE21" i="10"/>
  <c r="AF21" i="10" s="1"/>
  <c r="AH18" i="10"/>
  <c r="AJ18" i="10" s="1"/>
  <c r="AE18" i="10"/>
  <c r="AF18" i="10" s="1"/>
  <c r="AH19" i="10"/>
  <c r="AJ19" i="10" s="1"/>
  <c r="AE19" i="10"/>
  <c r="AF19" i="10" s="1"/>
  <c r="AH14" i="10"/>
  <c r="AJ14" i="10" s="1"/>
  <c r="AE14" i="10"/>
  <c r="AF14" i="10" s="1"/>
  <c r="AH15" i="10"/>
  <c r="AJ15" i="10" s="1"/>
  <c r="AE15" i="10"/>
  <c r="AF15" i="10" s="1"/>
  <c r="AH13" i="10"/>
  <c r="AE13" i="10"/>
  <c r="AF13" i="10" s="1"/>
  <c r="X28" i="10" l="1"/>
  <c r="X31" i="10"/>
  <c r="Z31" i="10" s="1"/>
  <c r="X29" i="10"/>
  <c r="Z29" i="10" s="1"/>
  <c r="X32" i="10"/>
  <c r="X24" i="10"/>
  <c r="X27" i="10"/>
  <c r="X22" i="10"/>
  <c r="Z22" i="10" s="1"/>
  <c r="X23" i="10"/>
  <c r="Z23" i="10" s="1"/>
  <c r="X30" i="10"/>
  <c r="Z30" i="10" s="1"/>
  <c r="AC25" i="10"/>
  <c r="AJ13" i="10"/>
  <c r="AE25" i="10" l="1"/>
  <c r="AF25" i="10" s="1"/>
  <c r="Z24" i="10"/>
  <c r="AC24" i="10" s="1"/>
  <c r="Z28" i="10"/>
  <c r="Z27" i="10"/>
  <c r="AC27" i="10" s="1"/>
  <c r="AE27" i="10" s="1"/>
  <c r="AF27" i="10" s="1"/>
  <c r="Z32" i="10"/>
  <c r="AC32" i="10" s="1"/>
  <c r="AC23" i="10"/>
  <c r="AC29" i="10"/>
  <c r="AH25" i="10"/>
  <c r="AJ25" i="10" s="1"/>
  <c r="AC26" i="10"/>
  <c r="AE24" i="10" l="1"/>
  <c r="AF24" i="10" s="1"/>
  <c r="AE23" i="10"/>
  <c r="AF23" i="10" s="1"/>
  <c r="AE32" i="10"/>
  <c r="AF32" i="10" s="1"/>
  <c r="AH32" i="10"/>
  <c r="AJ32" i="10" s="1"/>
  <c r="AC28" i="10"/>
  <c r="AH27" i="10"/>
  <c r="AJ27" i="10" s="1"/>
  <c r="AH23" i="10"/>
  <c r="AJ23" i="10" s="1"/>
  <c r="AH24" i="10"/>
  <c r="AJ24" i="10" s="1"/>
  <c r="AC31" i="10"/>
  <c r="AC22" i="10"/>
  <c r="AC30" i="10"/>
  <c r="AH29" i="10"/>
  <c r="AJ29" i="10" s="1"/>
  <c r="AE29" i="10"/>
  <c r="AF29" i="10" s="1"/>
  <c r="AE26" i="10"/>
  <c r="AF26" i="10" s="1"/>
  <c r="AH26" i="10"/>
  <c r="AE28" i="10" l="1"/>
  <c r="AF28" i="10" s="1"/>
  <c r="AH28" i="10"/>
  <c r="AJ28" i="10" s="1"/>
  <c r="AE31" i="10"/>
  <c r="AF31" i="10" s="1"/>
  <c r="AH31" i="10"/>
  <c r="AJ31" i="10" s="1"/>
  <c r="AH22" i="10"/>
  <c r="AJ22" i="10" s="1"/>
  <c r="AE22" i="10"/>
  <c r="AF22" i="10" s="1"/>
  <c r="AH30" i="10"/>
  <c r="AJ30" i="10" s="1"/>
  <c r="AE30" i="10"/>
  <c r="AF30" i="10" s="1"/>
  <c r="AJ26" i="10"/>
</calcChain>
</file>

<file path=xl/sharedStrings.xml><?xml version="1.0" encoding="utf-8"?>
<sst xmlns="http://schemas.openxmlformats.org/spreadsheetml/2006/main" count="1311" uniqueCount="576">
  <si>
    <t>12" bolt</t>
  </si>
  <si>
    <t>Bracket Assembly</t>
  </si>
  <si>
    <t>Lag screw</t>
  </si>
  <si>
    <t>Wire</t>
  </si>
  <si>
    <t>Spool insulator</t>
  </si>
  <si>
    <t>Wedge clamp</t>
  </si>
  <si>
    <t>Square washer</t>
  </si>
  <si>
    <t>One wire rack</t>
  </si>
  <si>
    <t>Labor</t>
  </si>
  <si>
    <t>Mast Arm*</t>
  </si>
  <si>
    <t>Fixture</t>
  </si>
  <si>
    <t>PEC</t>
  </si>
  <si>
    <t>Lamp*</t>
  </si>
  <si>
    <t>PEC*</t>
  </si>
  <si>
    <t>Luminaire*</t>
  </si>
  <si>
    <t>Fixture Type</t>
  </si>
  <si>
    <t>Open Bottom</t>
  </si>
  <si>
    <t xml:space="preserve">Flood </t>
  </si>
  <si>
    <t>4500-6000</t>
  </si>
  <si>
    <t>Lumens range</t>
  </si>
  <si>
    <t>HPS Equivalent wattage</t>
  </si>
  <si>
    <t>LED Wattage</t>
  </si>
  <si>
    <t>70w-100w</t>
  </si>
  <si>
    <t>14000-17500</t>
  </si>
  <si>
    <t>22000-28000</t>
  </si>
  <si>
    <t>35000-50000</t>
  </si>
  <si>
    <t>150w-200w</t>
  </si>
  <si>
    <t>400w</t>
  </si>
  <si>
    <t>1000w</t>
  </si>
  <si>
    <t>Cobra</t>
  </si>
  <si>
    <t>70w</t>
  </si>
  <si>
    <t>150w</t>
  </si>
  <si>
    <t>250w</t>
  </si>
  <si>
    <t>2500-4000</t>
  </si>
  <si>
    <t>5500-8200</t>
  </si>
  <si>
    <t>13000-16500</t>
  </si>
  <si>
    <t>22000-29000</t>
  </si>
  <si>
    <t>N/A</t>
  </si>
  <si>
    <t>Louisville Gas &amp; Electric</t>
  </si>
  <si>
    <t>Lag screws (2)</t>
  </si>
  <si>
    <t>12" bolt (1)</t>
  </si>
  <si>
    <t>One wire racks (2)</t>
  </si>
  <si>
    <t>Spool insulators (2)</t>
  </si>
  <si>
    <t>Compression connectors (2)</t>
  </si>
  <si>
    <t>Wedge clamps (2)</t>
  </si>
  <si>
    <t>Material subtotal</t>
  </si>
  <si>
    <t>Material burden</t>
  </si>
  <si>
    <t>Materials</t>
  </si>
  <si>
    <t>Investment Per Unit</t>
  </si>
  <si>
    <t>Material total</t>
  </si>
  <si>
    <t>Install fixture</t>
  </si>
  <si>
    <t>Install wire</t>
  </si>
  <si>
    <t>Labor subtotal</t>
  </si>
  <si>
    <t>Labor burden</t>
  </si>
  <si>
    <t>Labor total</t>
  </si>
  <si>
    <t>Investment per unit total</t>
  </si>
  <si>
    <t>*Difference between fixtures</t>
  </si>
  <si>
    <t>~Difference between LG&amp;E and KU</t>
  </si>
  <si>
    <t>150 feet of #4 duplex</t>
  </si>
  <si>
    <t>Pole</t>
  </si>
  <si>
    <t>T-base*</t>
  </si>
  <si>
    <t>Ground rod clamp</t>
  </si>
  <si>
    <t>Ground rod</t>
  </si>
  <si>
    <t>Concrete base*</t>
  </si>
  <si>
    <t>PVC 1" ell</t>
  </si>
  <si>
    <t>Relay box*</t>
  </si>
  <si>
    <t>Splice box</t>
  </si>
  <si>
    <t>Splice box*</t>
  </si>
  <si>
    <t>Permit*</t>
  </si>
  <si>
    <t>Sidewalk restoration (material)*</t>
  </si>
  <si>
    <t>Trenching (LG&amp;E only)~</t>
  </si>
  <si>
    <t>Install concrete base</t>
  </si>
  <si>
    <t>Install fuse/holder/sleeve</t>
  </si>
  <si>
    <t>Terminate connections</t>
  </si>
  <si>
    <t>Plow Trench (LG&amp;E only)~</t>
  </si>
  <si>
    <t>Install splice box (LG&amp;E only)~</t>
  </si>
  <si>
    <t>Sidewalk restoration (LG&amp;E only)~</t>
  </si>
  <si>
    <t>Contemporary</t>
  </si>
  <si>
    <t>Colonial</t>
  </si>
  <si>
    <t>Acorn</t>
  </si>
  <si>
    <t>4000-7000</t>
  </si>
  <si>
    <t>8000-11000</t>
  </si>
  <si>
    <t>13500-16500</t>
  </si>
  <si>
    <t>21000-28000</t>
  </si>
  <si>
    <t>45000-50000</t>
  </si>
  <si>
    <t>200w-250w</t>
  </si>
  <si>
    <t>100w</t>
  </si>
  <si>
    <t xml:space="preserve">Contemporary </t>
  </si>
  <si>
    <t>Compression connectors (4)</t>
  </si>
  <si>
    <t>Item Type</t>
  </si>
  <si>
    <t>Item Description</t>
  </si>
  <si>
    <t>IIN #</t>
  </si>
  <si>
    <t>Price  Each</t>
  </si>
  <si>
    <t>LED Cobra (2500-4000 lumens, 70w equivalent)</t>
  </si>
  <si>
    <t>LED Cobra (5500-8200 lumens, 150w equivalent)</t>
  </si>
  <si>
    <t>LED Cobra (13000-16500 lumens, 250w equivalent)</t>
  </si>
  <si>
    <t>Fxiture</t>
  </si>
  <si>
    <t>LED Cobra (22000-29000 lumens, 400w equivalent)</t>
  </si>
  <si>
    <t>LED Acorn (4000-7000 lumens, 70w-100w equivalent)</t>
  </si>
  <si>
    <t xml:space="preserve">Fixture </t>
  </si>
  <si>
    <t>LED Colonial (4000-7000 lumens, 100w equivalent)</t>
  </si>
  <si>
    <t>LED Open Bottom (4500-6000 lumens, 100w equivalent)</t>
  </si>
  <si>
    <t>LED Contemporary (4000-7000 lumens, 70w-100w equivalent) Black</t>
  </si>
  <si>
    <t>LED Contemporary (4000-7000 lumens, 70w-100w equivalent) Dark Bronze</t>
  </si>
  <si>
    <t>LED Contemporary (8000-11000 lumens, 150w equivalent) Black</t>
  </si>
  <si>
    <t>LED Contemporary (8000-11000 lumens, 150w equivalent) Dark Bronze</t>
  </si>
  <si>
    <t>LED Contemporary (13500-15000 lumens, 200w-250w equivalent) Black</t>
  </si>
  <si>
    <t>LED Contemporary (13500-15000 lumens, 200w-250w equivalent) Dark Bronze</t>
  </si>
  <si>
    <t>LED Contemporary (21000-28000 lumens, 400w equivalent) Black</t>
  </si>
  <si>
    <t>LED Contemporary (21000-28000 lumens, 400w equivalent) Dark Bronze</t>
  </si>
  <si>
    <t>LED Contemproary (45000-50000 lumens, 1000w MH equivalent) Black</t>
  </si>
  <si>
    <t>LED Contemproary (45000-50000 lumens, 1000w MH equivalent) Dark Bronze</t>
  </si>
  <si>
    <t>LED Floodlight (9500 lumens, 70w-100w equivalent)</t>
  </si>
  <si>
    <t>LED Floodlight (16000-17000  lumens, 150w-200w)</t>
  </si>
  <si>
    <t>LED Floodilght (21000-28000 lumens, 400w)</t>
  </si>
  <si>
    <t>LED Floodlight (45000-50000 lumens, 1000w MH equivalent)</t>
  </si>
  <si>
    <t>Long-life PEC</t>
  </si>
  <si>
    <t>28' MTH black aluminum direct buried - no arm (8' arm separate item)</t>
  </si>
  <si>
    <t>30' MTH aluminum direct buried contemporary (bronze)</t>
  </si>
  <si>
    <t>12' MTH Decorative smooth direct buried</t>
  </si>
  <si>
    <t>Mast arm</t>
  </si>
  <si>
    <t>2'</t>
  </si>
  <si>
    <t>4'</t>
  </si>
  <si>
    <t>6'</t>
  </si>
  <si>
    <t>8' (wood pole)</t>
  </si>
  <si>
    <t>8' painted black (cobra db)</t>
  </si>
  <si>
    <t>10'</t>
  </si>
  <si>
    <t>12'</t>
  </si>
  <si>
    <t>15'</t>
  </si>
  <si>
    <t>4' contemporary mast arm</t>
  </si>
  <si>
    <t>0933227</t>
  </si>
  <si>
    <t>#6</t>
  </si>
  <si>
    <t>#4</t>
  </si>
  <si>
    <t>#12/2</t>
  </si>
  <si>
    <t>Fuse</t>
  </si>
  <si>
    <t>Base</t>
  </si>
  <si>
    <t>T-Base</t>
  </si>
  <si>
    <t>Decorative base - CHESAPEAKE/FRANKLIN/ARLEN</t>
  </si>
  <si>
    <t>Decorative base - NORFOLK/ESSESX/GRANVILLE</t>
  </si>
  <si>
    <t>Ground</t>
  </si>
  <si>
    <t xml:space="preserve">Ground rod </t>
  </si>
  <si>
    <t>Misc</t>
  </si>
  <si>
    <t>Compression connector (average)</t>
  </si>
  <si>
    <t>See comment</t>
  </si>
  <si>
    <t>Conduit</t>
  </si>
  <si>
    <t xml:space="preserve">UG 2" </t>
  </si>
  <si>
    <t>UG 1"</t>
  </si>
  <si>
    <t>Schedule 40 conduit</t>
  </si>
  <si>
    <t>Splice box in grass</t>
  </si>
  <si>
    <t>Splice box in concrete</t>
  </si>
  <si>
    <t>Lamp</t>
  </si>
  <si>
    <t>LAMP, HPS, 1000W</t>
  </si>
  <si>
    <t>LAMP, HPS, 100W, 9500L</t>
  </si>
  <si>
    <t>LAMP, HPS, 150W, 16000L</t>
  </si>
  <si>
    <t>LAMP, HPS, 200W, 22000L</t>
  </si>
  <si>
    <t>LAMP, HPS, 250W, 100V, 27500L</t>
  </si>
  <si>
    <t>LAMP, HPS, 400W, 100V, 50000L</t>
  </si>
  <si>
    <t>LAMP, HPS, 50W, 4000L, CLEAR/ECO, MOGUL</t>
  </si>
  <si>
    <t>LAMP, HPS, 70W, 5800L</t>
  </si>
  <si>
    <t>LAMP, MH, 1000W, 110000L</t>
  </si>
  <si>
    <t>LAMP, MH, 175W, 14000L</t>
  </si>
  <si>
    <t>LAMP, MH, 400W, 36000L</t>
  </si>
  <si>
    <t>LAMP, PULSE START MH, 150W, MEDIUM BASE</t>
  </si>
  <si>
    <t>LAMP, PULSE START MH, 350W, MOGUL BASE</t>
  </si>
  <si>
    <t>LAMP, MV, 175W, 8000L, DELUXE WHITE</t>
  </si>
  <si>
    <t>LAMP, MV, 250W, 13000L, DELUXE WHITE</t>
  </si>
  <si>
    <t>LAMP, MV, 400W, 25000L, DELUXE WHITE</t>
  </si>
  <si>
    <t>Burden</t>
  </si>
  <si>
    <t>LG&amp;E material burden (4/1/18)</t>
  </si>
  <si>
    <t>Install fixture (LG&amp;E)</t>
  </si>
  <si>
    <t xml:space="preserve">Labor </t>
  </si>
  <si>
    <t>LG&amp;E labor burden (4/1/18)</t>
  </si>
  <si>
    <t>LG&amp;E install cable (underground)</t>
  </si>
  <si>
    <t>LG&amp;E install cable (overhead)</t>
  </si>
  <si>
    <t>LG&amp;E install fuse/holder</t>
  </si>
  <si>
    <t>LG&amp;E terminate connections</t>
  </si>
  <si>
    <t>LG&amp;E install direct buried pole (17' to 40')</t>
  </si>
  <si>
    <t>LG&amp;E install ped mount pole (17' to 40')</t>
  </si>
  <si>
    <t>LG&amp;E install direct buried pole (8' to 16')</t>
  </si>
  <si>
    <t>LG&amp;E install ped mount pole (8' to 16')</t>
  </si>
  <si>
    <t>Ground wire 5' (#6 duplex)~</t>
  </si>
  <si>
    <t>200 feet of wire~*</t>
  </si>
  <si>
    <t>City of Louisville Construction Permit</t>
  </si>
  <si>
    <t>Sidewalk restoration materials</t>
  </si>
  <si>
    <t>Conduit*</t>
  </si>
  <si>
    <t>LG&amp;E install concrete base</t>
  </si>
  <si>
    <t>LG&amp;E plow trench (200' + install conduit)</t>
  </si>
  <si>
    <t>LG&amp;E install splice box in grass</t>
  </si>
  <si>
    <t>LG&amp;E install splice box in concrete</t>
  </si>
  <si>
    <t>LG&amp;E sidewalk restoration</t>
  </si>
  <si>
    <t>Install pole</t>
  </si>
  <si>
    <t>30' Brushed aluminum davit - 7' arm (includes t-base?)</t>
  </si>
  <si>
    <t>3-eye bracket - directional fixture (LG&amp;E)</t>
  </si>
  <si>
    <t>Rate Code</t>
  </si>
  <si>
    <t>Estimated Investment Per Unit</t>
  </si>
  <si>
    <t>LG&amp;E</t>
  </si>
  <si>
    <t>Flood</t>
  </si>
  <si>
    <t>OH</t>
  </si>
  <si>
    <t>UG</t>
  </si>
  <si>
    <t>Pole Type</t>
  </si>
  <si>
    <t>Fixture materials burdened</t>
  </si>
  <si>
    <t>Pole materials subtotal</t>
  </si>
  <si>
    <t>Pole materials burdened</t>
  </si>
  <si>
    <t xml:space="preserve">Fixture materials subtotal </t>
  </si>
  <si>
    <t>Pole labor burdened</t>
  </si>
  <si>
    <t>Fixture labor burdened</t>
  </si>
  <si>
    <t>Pole Total Investment</t>
  </si>
  <si>
    <t>Fixture Total Investment</t>
  </si>
  <si>
    <t>16' MTH aluminum direct buried contemporary (bronze)</t>
  </si>
  <si>
    <t>0949519</t>
  </si>
  <si>
    <t>0454443</t>
  </si>
  <si>
    <t>20 amp fuse (LG&amp;E)</t>
  </si>
  <si>
    <t>Fuse holder (LG&amp;E)</t>
  </si>
  <si>
    <t>Boot cover, splice (LG&amp;E)</t>
  </si>
  <si>
    <t>2" x 10' conduit - schedule 40</t>
  </si>
  <si>
    <t>1" conduit - schedule 40 (per foot)</t>
  </si>
  <si>
    <t xml:space="preserve">1" x 20' - schedule 40 conduit </t>
  </si>
  <si>
    <t>1" x 10' - schedule 40 conduit</t>
  </si>
  <si>
    <t>CONTROL,PHOTOELECTRIC,105/130V,GRAY COVER,ELECTRONIC,1000W,1800VA,TIME DELAYED,1.5 FCS TURN ON,PHOTOTRANSISTOR,MINIMUM 160 JOULE MOV ARRESTER,TWISTLOCK BASE,DUSK TO DAWN,USE IN 120V ONLY</t>
  </si>
  <si>
    <t>Bulb Type</t>
  </si>
  <si>
    <t>LED</t>
  </si>
  <si>
    <t>Fuse and Fuse Holder and Boots*</t>
  </si>
  <si>
    <t>Wattage</t>
  </si>
  <si>
    <t>Capital</t>
  </si>
  <si>
    <t>Capital Total</t>
  </si>
  <si>
    <t>OM</t>
  </si>
  <si>
    <t>OM Total</t>
  </si>
  <si>
    <t>Grand Total</t>
  </si>
  <si>
    <t>LG&amp;E Spend</t>
  </si>
  <si>
    <t>NEW BUSINESS/STREET LIGHTING</t>
  </si>
  <si>
    <t>REPAIR / REPLACE DEF ST LIGHTING</t>
  </si>
  <si>
    <t>REPAIR / REP DEF ST LIGHTING</t>
  </si>
  <si>
    <t>Total Fixtures</t>
  </si>
  <si>
    <t>Total Bulbs Replaced</t>
  </si>
  <si>
    <t>LG&amp;E replace bulb + PEC</t>
  </si>
  <si>
    <t>Average</t>
  </si>
  <si>
    <t>Maintenance per fixture</t>
  </si>
  <si>
    <t>Total per year</t>
  </si>
  <si>
    <t>FAC</t>
  </si>
  <si>
    <t>ECR (LE)</t>
  </si>
  <si>
    <t>LG&amp;E Billing Adjustments</t>
  </si>
  <si>
    <t>Weighted Average Cost of Capital (WACC) (2016 Rate Case Settlement)</t>
  </si>
  <si>
    <t>From Folder "\Rate Case 2016\Settlement\ORDER..."</t>
  </si>
  <si>
    <t>Capitalization</t>
  </si>
  <si>
    <t>Annual</t>
  </si>
  <si>
    <t>Weighted</t>
  </si>
  <si>
    <t xml:space="preserve">     Ratio</t>
  </si>
  <si>
    <t>R.O.E.</t>
  </si>
  <si>
    <t>Cost</t>
  </si>
  <si>
    <t>Common Equity</t>
  </si>
  <si>
    <t>Short Term Debt</t>
  </si>
  <si>
    <t>Long Term Debt</t>
  </si>
  <si>
    <t>Total Debt</t>
  </si>
  <si>
    <t>Total WACC</t>
  </si>
  <si>
    <t>Overall Cost of Capital</t>
  </si>
  <si>
    <t>Note:</t>
  </si>
  <si>
    <t>Carrying Charge Income Tax Calculation</t>
  </si>
  <si>
    <t>Corporate Tax Rate:</t>
  </si>
  <si>
    <t xml:space="preserve">Carrying Charge: </t>
  </si>
  <si>
    <t xml:space="preserve">(Weighted Cost of Equity / (1- CORPORATE TAX RATE)) x CORPORATE TAX RATE </t>
  </si>
  <si>
    <t>(</t>
  </si>
  <si>
    <r>
      <t>/  (</t>
    </r>
    <r>
      <rPr>
        <b/>
        <sz val="12"/>
        <rFont val="Arial"/>
        <family val="2"/>
      </rPr>
      <t>1</t>
    </r>
    <r>
      <rPr>
        <sz val="12"/>
        <rFont val="Arial"/>
        <family val="2"/>
      </rPr>
      <t xml:space="preserve">  -</t>
    </r>
  </si>
  <si>
    <t>))           x</t>
  </si>
  <si>
    <t>Overall Rate of Return</t>
  </si>
  <si>
    <t>Straight Line Depreciation</t>
  </si>
  <si>
    <t>year useful life</t>
  </si>
  <si>
    <t>Income Taxes</t>
  </si>
  <si>
    <t>Property Tax</t>
  </si>
  <si>
    <t>TOTAL CARRYING CHARGE</t>
  </si>
  <si>
    <t>Distribution Energy</t>
  </si>
  <si>
    <t>per kWh:</t>
  </si>
  <si>
    <t>From KU Tariff (Sheet No. 37)</t>
  </si>
  <si>
    <t>Shared Data Across all LED Lighting options (LG&amp;E)</t>
  </si>
  <si>
    <t xml:space="preserve"> Federal Corporate Tax Rate (As of 1/1/2018)</t>
  </si>
  <si>
    <t>State Corporate Tax Rate (Dropped by 1% on 1/1/2018)</t>
  </si>
  <si>
    <t>Federal Benefit of State Taxes (Credit)</t>
  </si>
  <si>
    <t>TOTAL Corporate Tax Rate</t>
  </si>
  <si>
    <t>Tariff</t>
  </si>
  <si>
    <t>OH/UG</t>
  </si>
  <si>
    <t>Description</t>
  </si>
  <si>
    <t>Company</t>
  </si>
  <si>
    <t>Fixed Carrying Cost ($/yr)</t>
  </si>
  <si>
    <t>Operation and Maintenance ($ / yr)</t>
  </si>
  <si>
    <t>Distribution Energy per kWh ($ / yr)</t>
  </si>
  <si>
    <t>Unit Cost - FAC ($ / mo)</t>
  </si>
  <si>
    <t>Unit Cost - ECR ($ / mo)</t>
  </si>
  <si>
    <t>FAC Billing Adj. ($ / mo)</t>
  </si>
  <si>
    <t>Monthly Rate ($/mo)</t>
  </si>
  <si>
    <t>ECR Billing Adj. ($ / mo)</t>
  </si>
  <si>
    <t>Total Monthly Rate ($ / mo)</t>
  </si>
  <si>
    <t>Current Rates</t>
  </si>
  <si>
    <t>Delta ($) (+ Increase, - Decrease)</t>
  </si>
  <si>
    <t>Delta (%)</t>
  </si>
  <si>
    <t>Distribution Energy Rate (Lighting Energy Service Standard Rate)</t>
  </si>
  <si>
    <t>Base Energy - FAC</t>
  </si>
  <si>
    <t>Base Energy - ECR</t>
  </si>
  <si>
    <t>12-Month Avg. FAC Billing Adjustment (Energy Only)</t>
  </si>
  <si>
    <t>12-Month Avg. ECR Billing Adjustment (Total Bill)</t>
  </si>
  <si>
    <t>Carrying Charges - Poles</t>
  </si>
  <si>
    <t>Rate Category</t>
  </si>
  <si>
    <t>LGUM_201</t>
  </si>
  <si>
    <t>LGUM_203</t>
  </si>
  <si>
    <t>LGUM_204</t>
  </si>
  <si>
    <t>LGUM_206</t>
  </si>
  <si>
    <t>LGUM_207</t>
  </si>
  <si>
    <t>LGUM_208</t>
  </si>
  <si>
    <t>LGUM_209</t>
  </si>
  <si>
    <t>LGUM_210</t>
  </si>
  <si>
    <t>LGUM_252</t>
  </si>
  <si>
    <t>LGUM_266</t>
  </si>
  <si>
    <t>LGUM_267</t>
  </si>
  <si>
    <t>LGUM_274</t>
  </si>
  <si>
    <t>LGUM_275</t>
  </si>
  <si>
    <t>LGUM_276</t>
  </si>
  <si>
    <t>LGUM_277</t>
  </si>
  <si>
    <t>LGUM_278</t>
  </si>
  <si>
    <t>LGUM_279</t>
  </si>
  <si>
    <t>LGUM_280</t>
  </si>
  <si>
    <t>LGUM_281</t>
  </si>
  <si>
    <t>LGUM_282</t>
  </si>
  <si>
    <t>LGUM_283</t>
  </si>
  <si>
    <t>LGUM_314</t>
  </si>
  <si>
    <t>LGUM_315</t>
  </si>
  <si>
    <t>LGUM_318</t>
  </si>
  <si>
    <t>LGUM_348</t>
  </si>
  <si>
    <t>LGUM_349</t>
  </si>
  <si>
    <t>LGUM_400</t>
  </si>
  <si>
    <t>LGUM_401</t>
  </si>
  <si>
    <t>LGUM_412</t>
  </si>
  <si>
    <t>LGUM_413</t>
  </si>
  <si>
    <t>LGUM_415</t>
  </si>
  <si>
    <t>LGUM_416</t>
  </si>
  <si>
    <t>LGUM_417</t>
  </si>
  <si>
    <t>LGUM_419</t>
  </si>
  <si>
    <t>LGUM_420</t>
  </si>
  <si>
    <t>LGUM_421</t>
  </si>
  <si>
    <t>LGUM_422</t>
  </si>
  <si>
    <t>LGUM_423</t>
  </si>
  <si>
    <t>LGUM_424</t>
  </si>
  <si>
    <t>LGUM_425</t>
  </si>
  <si>
    <t>LGUM_426</t>
  </si>
  <si>
    <t>LGUM_427</t>
  </si>
  <si>
    <t>LGUM_428</t>
  </si>
  <si>
    <t>LGUM_429</t>
  </si>
  <si>
    <t>LGUM_430</t>
  </si>
  <si>
    <t>LGUM_431</t>
  </si>
  <si>
    <t>LGUM_432</t>
  </si>
  <si>
    <t>LGUM_433</t>
  </si>
  <si>
    <t>LGUM_440</t>
  </si>
  <si>
    <t>LGUM_441</t>
  </si>
  <si>
    <t>LGUM_444</t>
  </si>
  <si>
    <t>LGUM_445</t>
  </si>
  <si>
    <t>LGUM_452</t>
  </si>
  <si>
    <t>LGUM_453</t>
  </si>
  <si>
    <t>LGUM_454</t>
  </si>
  <si>
    <t>LGUM_455</t>
  </si>
  <si>
    <t>LGUM_456</t>
  </si>
  <si>
    <t>LGUM_457</t>
  </si>
  <si>
    <t>LGUM_470</t>
  </si>
  <si>
    <t>LGUM_471</t>
  </si>
  <si>
    <t>LGUM_473</t>
  </si>
  <si>
    <t>LGUM_474</t>
  </si>
  <si>
    <t>LGUM_475</t>
  </si>
  <si>
    <t>LGUM_476</t>
  </si>
  <si>
    <t>LGUM_477</t>
  </si>
  <si>
    <t>LGUM_480</t>
  </si>
  <si>
    <t>LGUM_481</t>
  </si>
  <si>
    <t>LGUM_482</t>
  </si>
  <si>
    <t>LGUM_483</t>
  </si>
  <si>
    <t>LGUM_484</t>
  </si>
  <si>
    <t>LS</t>
  </si>
  <si>
    <t>Lumens Range</t>
  </si>
  <si>
    <t>Fixture Only</t>
  </si>
  <si>
    <t>New</t>
  </si>
  <si>
    <t>Decorative Smooth</t>
  </si>
  <si>
    <t>Current Rate</t>
  </si>
  <si>
    <t>MAY 2018</t>
  </si>
  <si>
    <t>LEUM_825</t>
  </si>
  <si>
    <t>Electric Excess Facilities</t>
  </si>
  <si>
    <t>LEUM_826</t>
  </si>
  <si>
    <t>Electric Excess Facilities CIAC</t>
  </si>
  <si>
    <t>LEUM_828</t>
  </si>
  <si>
    <t>Excess Facilities ODL</t>
  </si>
  <si>
    <t>LEUM_829</t>
  </si>
  <si>
    <t>Excess Facilities ODL CIAC</t>
  </si>
  <si>
    <t>LGCMG863</t>
  </si>
  <si>
    <t>CGS: Unmetered Gas Generators</t>
  </si>
  <si>
    <t>RLS 201: OH MV Open Bottom 4000L Fixture</t>
  </si>
  <si>
    <t>RLS 203: OH MV Cobra Head 13000L Fixture</t>
  </si>
  <si>
    <t>RLS 204: OH MV Cobra Head 25000L Fixture</t>
  </si>
  <si>
    <t>LGUM_204CU</t>
  </si>
  <si>
    <t>RLS 204CU: OH MV Cobra Head 25000L Fix</t>
  </si>
  <si>
    <t>RLS 206: UG MV Coach 4000L Decorative</t>
  </si>
  <si>
    <t>RLS 207: OH MV Directional 25000L Fix</t>
  </si>
  <si>
    <t>RLS 208: UG MV Coach 8000L Decorative</t>
  </si>
  <si>
    <t>RLS 209: OH MV Cobra Head 60000L Fixture</t>
  </si>
  <si>
    <t>LGUM_209CU</t>
  </si>
  <si>
    <t>RLS 209CU: OH MV Cobra Head 60000L Fix</t>
  </si>
  <si>
    <t>RLS 210: OH MV Directional 60000L Fix</t>
  </si>
  <si>
    <t>RLS 252: OH MV Cobra/Open Bottom 8000L</t>
  </si>
  <si>
    <t>RLS 266: UG HPS Cobra/Contemp 28500L</t>
  </si>
  <si>
    <t>RLS 267: UG HPS Cobra/Contemp 50000L</t>
  </si>
  <si>
    <t>RLS 274: UG HPS Coach/Acorn 9500L Deco</t>
  </si>
  <si>
    <t>RLS 275: UG HPS Cobra/Contemp 16000L</t>
  </si>
  <si>
    <t>RLS 276: UG HPS Coach/Acorn 5800L Deco</t>
  </si>
  <si>
    <t>RLS 277: UG HPS Coach/Acorn 16000L Deco</t>
  </si>
  <si>
    <t>RLS 278: UG HPS Contemporary 120000L Dec</t>
  </si>
  <si>
    <t>RLS 279: UG HPS Contemporary 120000L Fix</t>
  </si>
  <si>
    <t>RLS 280: UG HPS Victorian 5800L Fixture</t>
  </si>
  <si>
    <t>RLS 281: UG HPS Victorian 9500L Fixture</t>
  </si>
  <si>
    <t>RLS 282: UG HPS London 5800L Fixture</t>
  </si>
  <si>
    <t>RLS 283: UG HPS London 9500L Fixture</t>
  </si>
  <si>
    <t>RLS 314: UG MV Cobra Head 13000L Deco</t>
  </si>
  <si>
    <t>RLS 315: UG MV Cobra Head 25000L Deco</t>
  </si>
  <si>
    <t>RLS 318: UG MV Cobra Head 8000L Deco</t>
  </si>
  <si>
    <t>RLS 348: UG Inc Continental Jr 6000L Dec</t>
  </si>
  <si>
    <t>RLS 349: UG Inc Continental Jr 1500L Dec</t>
  </si>
  <si>
    <t>LS 400: Dark Sky 4000L Decorative Smooth</t>
  </si>
  <si>
    <t>LS 401: Dark Sky 9500L Decorative Smooth</t>
  </si>
  <si>
    <t>LS 412: UG HPS Colonial 4-Sided 5800L</t>
  </si>
  <si>
    <t>LS 413: UG HPS Colonial 4-Sided 9500L</t>
  </si>
  <si>
    <t>LS 415: UG HPS Acorn 5800L Decorative</t>
  </si>
  <si>
    <t>LS 416: UG HPS Acorn  9500L Decorative</t>
  </si>
  <si>
    <t>RLS 417: UG HPS Acorn Bronze 9500L Deco</t>
  </si>
  <si>
    <t>RLS 419: UG HPS Acorn Bronze 16000L Deco</t>
  </si>
  <si>
    <t>LS 420: UG HPS Contemporary 16000L Deco</t>
  </si>
  <si>
    <t>LS 421: UG HPS Contemporary 28500L Deco</t>
  </si>
  <si>
    <t>LS 422: UG HPS Contemporary 50000L Deco</t>
  </si>
  <si>
    <t>LS 423: UG HPS Cobra Head 16000L Deco</t>
  </si>
  <si>
    <t>LS 424: UG HPS Cobra Head 28500L Deco</t>
  </si>
  <si>
    <t>LS 425: UG HPS Cobra Head 50000L Deco</t>
  </si>
  <si>
    <t>RLS 426: UG HPS London 5800L Decorative</t>
  </si>
  <si>
    <t>LS 427: UG HPS London 5800L Historic</t>
  </si>
  <si>
    <t>RLS 428: UG HPS London 9500L Decorative</t>
  </si>
  <si>
    <t>LS 429: UG HPS London 9500L Historic</t>
  </si>
  <si>
    <t>RLS 430: UG HPS Victorian 5800L Deco</t>
  </si>
  <si>
    <t>LS 431: UG HPS Victorian 5800L Historic</t>
  </si>
  <si>
    <t>RLS 432: UG HPS Victorian 9500L Deco</t>
  </si>
  <si>
    <t>LS 433: UG HPS Victorian 9500L Historic</t>
  </si>
  <si>
    <t>LS 440: UG HPS Contemporary 28500L Fix</t>
  </si>
  <si>
    <t>LS 441: UG HPS Contemporary 50000L Fix</t>
  </si>
  <si>
    <t>LS 444: UG HPS Colonial 4-Sided 16000L</t>
  </si>
  <si>
    <t>LS 445: UG HPS Acorn 16000L Decorative</t>
  </si>
  <si>
    <t>LS 452: OH HPS Cobra Head 16000L Fixture</t>
  </si>
  <si>
    <t>LGUM_452CU</t>
  </si>
  <si>
    <t>LS 452CU: OH HPS Cobra Head 16000L Fix</t>
  </si>
  <si>
    <t>LS 453: OH HPS Cobra Head 28500L Fixture</t>
  </si>
  <si>
    <t>LGUM_453CU</t>
  </si>
  <si>
    <t>LS 453CU: OH HPS Cobra Head 28500L Fix</t>
  </si>
  <si>
    <t>LS 454: OH HPS Cobra Head 50000L Fixture</t>
  </si>
  <si>
    <t>LGUM_454CU</t>
  </si>
  <si>
    <t>LS 454CU: OH HPS Cobra Head 50000L Fix</t>
  </si>
  <si>
    <t>LS 455: OH HPS Directional 16000L Fix</t>
  </si>
  <si>
    <t>LS 456: OH HPS Directional 50000L Fix</t>
  </si>
  <si>
    <t>LGUM_456CU</t>
  </si>
  <si>
    <t>LS 456CU: OH HPS Directional 50000L Fix</t>
  </si>
  <si>
    <t>LS 457: OH HPS Open Bottom 9500L Fixture</t>
  </si>
  <si>
    <t>RLS 470: OH MH Directional 12000L Fix</t>
  </si>
  <si>
    <t>RLS 471: OH MH Directional 12000L Wood</t>
  </si>
  <si>
    <t>LS 473: OH MH Directional 32000L Fixture</t>
  </si>
  <si>
    <t>RLS 474: OH MH Directional 32000L Wood</t>
  </si>
  <si>
    <t>RLS 475: OH MH Directional 32000L Metal</t>
  </si>
  <si>
    <t>RLS 476: OH MH Directional 107800L Fix</t>
  </si>
  <si>
    <t>RLS 477: OH MH Directional 107800L Wood</t>
  </si>
  <si>
    <t>RLS 480: UG MH Contemporary 12000L Deco</t>
  </si>
  <si>
    <t>LS 481: UG MH Contemporary 32000L Fix</t>
  </si>
  <si>
    <t>LS 482: UG MH Contemporary 32000L Deco</t>
  </si>
  <si>
    <t>RLS 483: UG MH Contemporary 107800L Fix</t>
  </si>
  <si>
    <t>RLS 484: UG MH Contemporary 107800L Deco</t>
  </si>
  <si>
    <t>LGUM_490</t>
  </si>
  <si>
    <t>LS 490: OH LED Cobra Head 8179L Fixture</t>
  </si>
  <si>
    <t>LGUM_491</t>
  </si>
  <si>
    <t>LS 491: OH LED Cobra Head 14166L Fixture</t>
  </si>
  <si>
    <t>LGUM_493</t>
  </si>
  <si>
    <t>LS 493: OH LED Open Bottom 5007L Fixture</t>
  </si>
  <si>
    <t>Revenue Period</t>
  </si>
  <si>
    <t>Group Company Code</t>
  </si>
  <si>
    <t>Rate Category Description</t>
  </si>
  <si>
    <t># Lights at start of Period</t>
  </si>
  <si>
    <t>From "LGE Base Period Jan-Dec18.xlsx"</t>
  </si>
  <si>
    <t># of Lights (Start of May 2018)</t>
  </si>
  <si>
    <t>Monthly Revenue Requirement Updated</t>
  </si>
  <si>
    <t>Monthly Revenue Requirement Current</t>
  </si>
  <si>
    <t>Annual Revenue Requirement Updated</t>
  </si>
  <si>
    <t>Annual Revenue Requirement Current</t>
  </si>
  <si>
    <t>Other</t>
  </si>
  <si>
    <t>Estimated Poles Investment per Unit</t>
  </si>
  <si>
    <t>Estimated Fixture Investment per Unit</t>
  </si>
  <si>
    <t>Poles Fixed Carrying Cost ($/yr)</t>
  </si>
  <si>
    <t>Fixtures Fixed Carrying Cost ($/yr)</t>
  </si>
  <si>
    <t>Monthly Rate / Fixtures Only</t>
  </si>
  <si>
    <t>Total Monthly Rate - Fixtures Only</t>
  </si>
  <si>
    <t>Poles</t>
  </si>
  <si>
    <t>Non fixture maintenance per year</t>
  </si>
  <si>
    <t>Non-Fix maintenance per year</t>
  </si>
  <si>
    <t>LGE</t>
  </si>
  <si>
    <t>ECR Billing Adj. Fixtures Only ($ / mo)</t>
  </si>
  <si>
    <t>Cobra - Ornamental</t>
  </si>
  <si>
    <t>Calculation of Annual Carrying Charge for LED fixtures - 25 Year Depreciation Study Method</t>
  </si>
  <si>
    <t>Carrying Charges - 25-Year Depreciation Study Method</t>
  </si>
  <si>
    <t>Carrying Charges - Open Bottom LED 15-Year Life</t>
  </si>
  <si>
    <t>Calculation of Annual Carrying Charge for LED fixtures - Open Bottom LED 15 year life</t>
  </si>
  <si>
    <t>15-Year</t>
  </si>
  <si>
    <t>25-Year</t>
  </si>
  <si>
    <t>Pole Useful Life</t>
  </si>
  <si>
    <t>Fixture Useful Life</t>
  </si>
  <si>
    <t>Decorative Smooth - Post Top</t>
  </si>
  <si>
    <t>Historic Fluted - Post Top</t>
  </si>
  <si>
    <t>Contemporary (Short)</t>
  </si>
  <si>
    <t>Contemporary (Tall)</t>
  </si>
  <si>
    <t>Total</t>
  </si>
  <si>
    <t>Forecasted Test Year</t>
  </si>
  <si>
    <t>Present Day Invest Per Unit</t>
  </si>
  <si>
    <t># of Poles</t>
  </si>
  <si>
    <t>Calculated Present day NBV</t>
  </si>
  <si>
    <t>% of total calcualted present day pole NBV</t>
  </si>
  <si>
    <t>NBV per pole type</t>
  </si>
  <si>
    <t>New Bus NBV per pole type</t>
  </si>
  <si>
    <t>Replacement NBV per year</t>
  </si>
  <si>
    <t>Adjust Invest per unit</t>
  </si>
  <si>
    <t>Annual Non-Fix Maintenance</t>
  </si>
  <si>
    <t>Weighted average invest per unit</t>
  </si>
  <si>
    <t>Avg OH Fix Invest per unit</t>
  </si>
  <si>
    <t>OH Fixtures</t>
  </si>
  <si>
    <t>Avg UG Fixture Invest Per unit</t>
  </si>
  <si>
    <t>UG Fixtures</t>
  </si>
  <si>
    <t>Avg pole invest per unit</t>
  </si>
  <si>
    <t>2017 NBV</t>
  </si>
  <si>
    <t>OH Fix</t>
  </si>
  <si>
    <t>UG Fix</t>
  </si>
  <si>
    <t>Poles NBV</t>
  </si>
  <si>
    <t>NBV / pole</t>
  </si>
  <si>
    <t>Total Fix</t>
  </si>
  <si>
    <t>Fix NBV</t>
  </si>
  <si>
    <t>NBV / fix</t>
  </si>
  <si>
    <t>LC1</t>
  </si>
  <si>
    <t>LF1</t>
  </si>
  <si>
    <t>LF2</t>
  </si>
  <si>
    <t>LF3</t>
  </si>
  <si>
    <t>LF4</t>
  </si>
  <si>
    <t>LA1</t>
  </si>
  <si>
    <t>LN1</t>
  </si>
  <si>
    <t>LN2</t>
  </si>
  <si>
    <t>LN3</t>
  </si>
  <si>
    <t>LN4</t>
  </si>
  <si>
    <t>LN5</t>
  </si>
  <si>
    <t>LC2</t>
  </si>
  <si>
    <t>PL2</t>
  </si>
  <si>
    <t>PL1</t>
  </si>
  <si>
    <t>PL3</t>
  </si>
  <si>
    <t>PL4</t>
  </si>
  <si>
    <t>PL5</t>
  </si>
  <si>
    <t>Calculation of Annual Carrying Charge for Conversion Fee - 5 years</t>
  </si>
  <si>
    <t>Annual Converison Fee</t>
  </si>
  <si>
    <t>Monthly Conversion Fee</t>
  </si>
  <si>
    <t>LF5</t>
  </si>
  <si>
    <t>LF6</t>
  </si>
  <si>
    <t>LF7</t>
  </si>
  <si>
    <t>LF8</t>
  </si>
  <si>
    <t>Total maintenance per year</t>
  </si>
  <si>
    <t>New Bus # of Poles</t>
  </si>
  <si>
    <t>Calculation of Annual Carrying Charge for Vintage Poles</t>
  </si>
  <si>
    <t>Calculation of Annual Carrying Charge for Weighted average of New and Vintage Poles</t>
  </si>
  <si>
    <t>Calculation of Annual Carrying Charge for New Poles</t>
  </si>
  <si>
    <t>Calculation of Annual Carrying Charge for LED fixtures - LED 25 year life</t>
  </si>
  <si>
    <t>Carrying Charges - LED 25-Year Life</t>
  </si>
  <si>
    <t>Luminaire</t>
  </si>
  <si>
    <t>Mast Arm</t>
  </si>
  <si>
    <t>Wire through mast arm (10')</t>
  </si>
  <si>
    <t>Square washers (4)</t>
  </si>
  <si>
    <t>Square washer (2)</t>
  </si>
  <si>
    <t>Cable through pole*</t>
  </si>
  <si>
    <t>Weighted Average of mast arm</t>
  </si>
  <si>
    <t>Estimated New Fixtures per year</t>
  </si>
  <si>
    <t>Estimated New Bus Cap poles NBV</t>
  </si>
  <si>
    <t>Estimated Pole Replacement NBV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</si>
</sst>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\-yy;@"/>
    <numFmt numFmtId="169" formatCode="#,##0.00000_);\(#,##0.00000\)"/>
    <numFmt numFmtId="170" formatCode="_(&quot;$&quot;* #,##0.00000_);_(&quot;$&quot;* \(#,##0.00000\);_(&quot;$&quot;* &quot;-&quot;??_);_(@_)"/>
    <numFmt numFmtId="171" formatCode="0.0%"/>
    <numFmt numFmtId="172" formatCode="&quot;$&quot;#,##0.00000_);\(&quot;$&quot;#,##0.00000\)"/>
    <numFmt numFmtId="173" formatCode="General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color rgb="FFFF0000"/>
      <name val="Arial"/>
      <family val="2"/>
    </font>
    <font>
      <sz val="12"/>
      <color rgb="FF0070C0"/>
      <name val="Arial"/>
      <family val="2"/>
    </font>
    <font>
      <sz val="12"/>
      <color indexed="48"/>
      <name val="Arial"/>
      <family val="2"/>
    </font>
    <font>
      <b/>
      <u/>
      <sz val="12"/>
      <name val="Arial"/>
      <family val="2"/>
    </font>
    <font>
      <sz val="12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1"/>
      <color rgb="FF0070C0"/>
      <name val="Calibri"/>
      <family val="2"/>
      <scheme val="minor"/>
    </font>
    <font>
      <sz val="12"/>
      <name val="Helv"/>
    </font>
    <font>
      <sz val="10"/>
      <name val="Times New Roman"/>
      <family val="1"/>
    </font>
    <font>
      <sz val="11"/>
      <color theme="1"/>
      <name val="Times New Roman"/>
      <family val="2"/>
    </font>
    <font>
      <sz val="10"/>
      <color theme="1"/>
      <name val="Times New Roman"/>
      <family val="1"/>
    </font>
    <font>
      <sz val="10"/>
      <color rgb="FF0070C0"/>
      <name val="Times New Roman"/>
      <family val="1"/>
    </font>
    <font>
      <sz val="10"/>
      <color rgb="FFFF0000"/>
      <name val="Times New Roman"/>
      <family val="1"/>
    </font>
    <font>
      <b/>
      <sz val="11"/>
      <color rgb="FF00B0F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rgb="FFDDEBF7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rgb="FFDDEBF7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9BC2E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4" fontId="29" fillId="0" borderId="0" applyFont="0" applyFill="0" applyBorder="0" applyAlignment="0" applyProtection="0"/>
    <xf numFmtId="173" fontId="31" fillId="0" borderId="0"/>
    <xf numFmtId="0" fontId="1" fillId="0" borderId="0"/>
    <xf numFmtId="0" fontId="33" fillId="0" borderId="0"/>
  </cellStyleXfs>
  <cellXfs count="348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44" fontId="0" fillId="0" borderId="0" xfId="1" applyFont="1"/>
    <xf numFmtId="0" fontId="0" fillId="0" borderId="0" xfId="0" applyAlignment="1">
      <alignment horizontal="right"/>
    </xf>
    <xf numFmtId="44" fontId="0" fillId="0" borderId="0" xfId="1" applyFont="1" applyAlignment="1">
      <alignment horizontal="right"/>
    </xf>
    <xf numFmtId="0" fontId="4" fillId="0" borderId="0" xfId="0" applyFont="1"/>
    <xf numFmtId="44" fontId="0" fillId="0" borderId="0" xfId="0" applyNumberFormat="1"/>
    <xf numFmtId="10" fontId="0" fillId="0" borderId="0" xfId="2" applyNumberFormat="1" applyFont="1"/>
    <xf numFmtId="164" fontId="0" fillId="0" borderId="0" xfId="2" applyNumberFormat="1" applyFont="1"/>
    <xf numFmtId="0" fontId="0" fillId="0" borderId="0" xfId="0" applyFill="1"/>
    <xf numFmtId="164" fontId="0" fillId="0" borderId="0" xfId="2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44" fontId="0" fillId="0" borderId="0" xfId="1" applyFont="1" applyFill="1" applyAlignment="1">
      <alignment horizontal="right"/>
    </xf>
    <xf numFmtId="44" fontId="0" fillId="0" borderId="0" xfId="0" applyNumberFormat="1" applyFill="1" applyAlignment="1">
      <alignment horizontal="right"/>
    </xf>
    <xf numFmtId="165" fontId="0" fillId="0" borderId="0" xfId="2" applyNumberFormat="1" applyFont="1" applyFill="1" applyAlignment="1">
      <alignment horizontal="right"/>
    </xf>
    <xf numFmtId="164" fontId="0" fillId="0" borderId="0" xfId="2" applyNumberFormat="1" applyFont="1" applyFill="1" applyAlignment="1">
      <alignment horizontal="right"/>
    </xf>
    <xf numFmtId="44" fontId="0" fillId="0" borderId="0" xfId="0" applyNumberFormat="1" applyFill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right" vertical="center"/>
    </xf>
    <xf numFmtId="44" fontId="8" fillId="0" borderId="1" xfId="1" applyFont="1" applyFill="1" applyBorder="1" applyAlignment="1">
      <alignment vertical="center"/>
    </xf>
    <xf numFmtId="0" fontId="8" fillId="0" borderId="1" xfId="0" quotePrefix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/>
    <xf numFmtId="44" fontId="0" fillId="0" borderId="0" xfId="1" applyNumberFormat="1" applyFont="1" applyAlignment="1">
      <alignment horizontal="right"/>
    </xf>
    <xf numFmtId="166" fontId="0" fillId="0" borderId="0" xfId="0" applyNumberFormat="1"/>
    <xf numFmtId="0" fontId="10" fillId="0" borderId="0" xfId="0" applyFont="1" applyFill="1" applyBorder="1"/>
    <xf numFmtId="0" fontId="11" fillId="4" borderId="0" xfId="0" applyFont="1" applyFill="1" applyBorder="1"/>
    <xf numFmtId="0" fontId="11" fillId="5" borderId="0" xfId="0" applyFont="1" applyFill="1" applyBorder="1"/>
    <xf numFmtId="0" fontId="11" fillId="4" borderId="8" xfId="0" applyFont="1" applyFill="1" applyBorder="1"/>
    <xf numFmtId="0" fontId="11" fillId="5" borderId="8" xfId="0" applyFont="1" applyFill="1" applyBorder="1"/>
    <xf numFmtId="166" fontId="10" fillId="0" borderId="0" xfId="0" applyNumberFormat="1" applyFont="1" applyFill="1" applyBorder="1"/>
    <xf numFmtId="1" fontId="0" fillId="0" borderId="0" xfId="0" applyNumberFormat="1"/>
    <xf numFmtId="9" fontId="0" fillId="0" borderId="0" xfId="2" applyFont="1"/>
    <xf numFmtId="167" fontId="10" fillId="0" borderId="0" xfId="3" applyNumberFormat="1" applyFont="1" applyFill="1" applyBorder="1"/>
    <xf numFmtId="167" fontId="0" fillId="0" borderId="0" xfId="0" applyNumberForma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168" fontId="16" fillId="0" borderId="0" xfId="0" applyNumberFormat="1" applyFont="1"/>
    <xf numFmtId="169" fontId="16" fillId="0" borderId="0" xfId="0" applyNumberFormat="1" applyFont="1"/>
    <xf numFmtId="10" fontId="16" fillId="0" borderId="0" xfId="2" applyNumberFormat="1" applyFont="1"/>
    <xf numFmtId="168" fontId="14" fillId="0" borderId="0" xfId="0" applyNumberFormat="1" applyFont="1"/>
    <xf numFmtId="169" fontId="16" fillId="0" borderId="9" xfId="0" applyNumberFormat="1" applyFont="1" applyBorder="1"/>
    <xf numFmtId="10" fontId="16" fillId="0" borderId="9" xfId="2" applyNumberFormat="1" applyFont="1" applyBorder="1"/>
    <xf numFmtId="0" fontId="14" fillId="0" borderId="0" xfId="0" applyFont="1" applyAlignment="1">
      <alignment horizontal="right"/>
    </xf>
    <xf numFmtId="169" fontId="14" fillId="0" borderId="0" xfId="0" applyNumberFormat="1" applyFont="1"/>
    <xf numFmtId="10" fontId="14" fillId="0" borderId="0" xfId="2" applyNumberFormat="1" applyFont="1"/>
    <xf numFmtId="0" fontId="17" fillId="0" borderId="0" xfId="0" applyFont="1"/>
    <xf numFmtId="0" fontId="18" fillId="0" borderId="0" xfId="0" applyFont="1" applyBorder="1"/>
    <xf numFmtId="0" fontId="19" fillId="0" borderId="0" xfId="0" applyFont="1" applyBorder="1"/>
    <xf numFmtId="0" fontId="19" fillId="0" borderId="0" xfId="0" applyFont="1"/>
    <xf numFmtId="0" fontId="20" fillId="0" borderId="0" xfId="0" applyFont="1" applyBorder="1" applyAlignment="1"/>
    <xf numFmtId="0" fontId="19" fillId="0" borderId="0" xfId="0" applyFont="1" applyBorder="1" applyAlignment="1">
      <alignment horizontal="centerContinuous"/>
    </xf>
    <xf numFmtId="0" fontId="19" fillId="0" borderId="0" xfId="0" applyFont="1" applyBorder="1" applyAlignment="1"/>
    <xf numFmtId="0" fontId="21" fillId="0" borderId="0" xfId="0" applyFont="1"/>
    <xf numFmtId="0" fontId="19" fillId="0" borderId="10" xfId="0" applyFont="1" applyBorder="1" applyAlignment="1"/>
    <xf numFmtId="0" fontId="19" fillId="0" borderId="11" xfId="0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2" fillId="0" borderId="0" xfId="0" quotePrefix="1" applyFont="1" applyBorder="1" applyAlignment="1">
      <alignment horizontal="left"/>
    </xf>
    <xf numFmtId="0" fontId="19" fillId="0" borderId="13" xfId="0" applyFont="1" applyBorder="1" applyAlignment="1"/>
    <xf numFmtId="0" fontId="19" fillId="0" borderId="9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/>
    <xf numFmtId="10" fontId="23" fillId="0" borderId="0" xfId="0" applyNumberFormat="1" applyFont="1" applyBorder="1" applyAlignment="1">
      <alignment horizontal="center"/>
    </xf>
    <xf numFmtId="0" fontId="19" fillId="0" borderId="0" xfId="0" quotePrefix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0" fontId="19" fillId="0" borderId="0" xfId="0" applyNumberFormat="1" applyFont="1" applyBorder="1" applyAlignment="1">
      <alignment horizontal="center"/>
    </xf>
    <xf numFmtId="10" fontId="23" fillId="0" borderId="0" xfId="2" quotePrefix="1" applyNumberFormat="1" applyFont="1" applyBorder="1" applyAlignment="1">
      <alignment horizontal="center"/>
    </xf>
    <xf numFmtId="0" fontId="22" fillId="0" borderId="0" xfId="0" applyFont="1" applyBorder="1"/>
    <xf numFmtId="10" fontId="20" fillId="0" borderId="0" xfId="0" applyNumberFormat="1" applyFont="1" applyBorder="1" applyAlignment="1">
      <alignment horizontal="center"/>
    </xf>
    <xf numFmtId="0" fontId="19" fillId="0" borderId="0" xfId="0" applyFont="1" applyAlignment="1"/>
    <xf numFmtId="10" fontId="19" fillId="0" borderId="0" xfId="0" quotePrefix="1" applyNumberFormat="1" applyFont="1" applyBorder="1" applyAlignment="1">
      <alignment horizontal="center"/>
    </xf>
    <xf numFmtId="10" fontId="23" fillId="0" borderId="0" xfId="2" applyNumberFormat="1" applyFont="1" applyBorder="1" applyAlignment="1">
      <alignment horizontal="center"/>
    </xf>
    <xf numFmtId="0" fontId="19" fillId="0" borderId="5" xfId="0" applyFont="1" applyBorder="1" applyAlignment="1"/>
    <xf numFmtId="10" fontId="19" fillId="0" borderId="6" xfId="0" applyNumberFormat="1" applyFont="1" applyBorder="1" applyAlignment="1">
      <alignment horizontal="center"/>
    </xf>
    <xf numFmtId="10" fontId="19" fillId="0" borderId="6" xfId="0" quotePrefix="1" applyNumberFormat="1" applyFont="1" applyBorder="1" applyAlignment="1">
      <alignment horizontal="center"/>
    </xf>
    <xf numFmtId="10" fontId="24" fillId="0" borderId="6" xfId="2" applyNumberFormat="1" applyFont="1" applyBorder="1" applyAlignment="1">
      <alignment horizontal="center"/>
    </xf>
    <xf numFmtId="10" fontId="19" fillId="0" borderId="7" xfId="0" applyNumberFormat="1" applyFont="1" applyBorder="1" applyAlignment="1">
      <alignment horizontal="center"/>
    </xf>
    <xf numFmtId="0" fontId="20" fillId="0" borderId="17" xfId="0" applyFont="1" applyBorder="1" applyAlignment="1"/>
    <xf numFmtId="10" fontId="19" fillId="0" borderId="18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164" fontId="20" fillId="0" borderId="19" xfId="0" applyNumberFormat="1" applyFont="1" applyFill="1" applyBorder="1" applyAlignment="1">
      <alignment horizontal="center"/>
    </xf>
    <xf numFmtId="0" fontId="20" fillId="0" borderId="0" xfId="0" quotePrefix="1" applyFont="1" applyFill="1" applyBorder="1"/>
    <xf numFmtId="0" fontId="19" fillId="0" borderId="0" xfId="0" applyFont="1" applyFill="1" applyBorder="1" applyAlignment="1"/>
    <xf numFmtId="0" fontId="19" fillId="0" borderId="0" xfId="0" applyFont="1" applyBorder="1" applyAlignment="1" applyProtection="1">
      <protection locked="0"/>
    </xf>
    <xf numFmtId="0" fontId="19" fillId="0" borderId="0" xfId="0" applyFont="1" applyAlignment="1" applyProtection="1">
      <protection locked="0"/>
    </xf>
    <xf numFmtId="0" fontId="25" fillId="0" borderId="0" xfId="0" applyFont="1" applyBorder="1" applyAlignment="1"/>
    <xf numFmtId="0" fontId="22" fillId="0" borderId="0" xfId="0" applyFont="1" applyBorder="1" applyAlignment="1"/>
    <xf numFmtId="7" fontId="19" fillId="0" borderId="0" xfId="0" applyNumberFormat="1" applyFont="1" applyBorder="1"/>
    <xf numFmtId="0" fontId="19" fillId="0" borderId="0" xfId="0" quotePrefix="1" applyFont="1" applyBorder="1" applyAlignment="1">
      <alignment horizontal="right"/>
    </xf>
    <xf numFmtId="0" fontId="19" fillId="0" borderId="0" xfId="0" quotePrefix="1" applyFont="1" applyBorder="1"/>
    <xf numFmtId="165" fontId="20" fillId="0" borderId="0" xfId="2" applyNumberFormat="1" applyFont="1" applyBorder="1"/>
    <xf numFmtId="0" fontId="19" fillId="0" borderId="0" xfId="0" quotePrefix="1" applyFont="1" applyBorder="1" applyAlignment="1"/>
    <xf numFmtId="0" fontId="19" fillId="0" borderId="0" xfId="0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19" fillId="0" borderId="0" xfId="0" applyFont="1" applyFill="1" applyBorder="1"/>
    <xf numFmtId="10" fontId="19" fillId="0" borderId="0" xfId="0" applyNumberFormat="1" applyFont="1" applyFill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164" fontId="19" fillId="0" borderId="0" xfId="0" applyNumberFormat="1" applyFont="1" applyFill="1" applyBorder="1"/>
    <xf numFmtId="0" fontId="19" fillId="0" borderId="0" xfId="0" quotePrefix="1" applyFont="1" applyBorder="1" applyAlignment="1" applyProtection="1">
      <alignment horizontal="left"/>
      <protection locked="0"/>
    </xf>
    <xf numFmtId="2" fontId="23" fillId="0" borderId="0" xfId="0" applyNumberFormat="1" applyFont="1" applyFill="1" applyBorder="1"/>
    <xf numFmtId="0" fontId="20" fillId="0" borderId="0" xfId="0" applyFont="1" applyFill="1" applyBorder="1"/>
    <xf numFmtId="10" fontId="20" fillId="0" borderId="0" xfId="0" applyNumberFormat="1" applyFont="1" applyFill="1" applyBorder="1"/>
    <xf numFmtId="0" fontId="20" fillId="0" borderId="0" xfId="0" applyFont="1" applyFill="1" applyBorder="1" applyAlignment="1"/>
    <xf numFmtId="0" fontId="25" fillId="0" borderId="0" xfId="0" applyFont="1" applyFill="1" applyBorder="1" applyAlignment="1">
      <alignment horizontal="centerContinuous"/>
    </xf>
    <xf numFmtId="7" fontId="19" fillId="0" borderId="0" xfId="0" applyNumberFormat="1" applyFont="1" applyFill="1" applyBorder="1"/>
    <xf numFmtId="0" fontId="25" fillId="0" borderId="0" xfId="0" applyFont="1" applyFill="1" applyBorder="1" applyAlignment="1"/>
    <xf numFmtId="170" fontId="23" fillId="0" borderId="0" xfId="1" applyNumberFormat="1" applyFont="1"/>
    <xf numFmtId="0" fontId="22" fillId="0" borderId="0" xfId="0" applyFont="1"/>
    <xf numFmtId="164" fontId="20" fillId="0" borderId="0" xfId="2" applyNumberFormat="1" applyFont="1" applyBorder="1" applyAlignment="1">
      <alignment horizontal="right"/>
    </xf>
    <xf numFmtId="171" fontId="26" fillId="0" borderId="0" xfId="2" applyNumberFormat="1" applyFont="1"/>
    <xf numFmtId="171" fontId="26" fillId="0" borderId="0" xfId="2" applyNumberFormat="1" applyFont="1" applyBorder="1"/>
    <xf numFmtId="10" fontId="26" fillId="0" borderId="9" xfId="2" applyNumberFormat="1" applyFont="1" applyBorder="1"/>
    <xf numFmtId="10" fontId="21" fillId="0" borderId="0" xfId="2" applyNumberFormat="1" applyFont="1"/>
    <xf numFmtId="165" fontId="23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/>
    <xf numFmtId="10" fontId="20" fillId="0" borderId="0" xfId="0" applyNumberFormat="1" applyFont="1" applyFill="1" applyBorder="1" applyAlignment="1">
      <alignment horizontal="center"/>
    </xf>
    <xf numFmtId="0" fontId="2" fillId="6" borderId="6" xfId="0" applyFont="1" applyFill="1" applyBorder="1" applyAlignment="1">
      <alignment wrapText="1"/>
    </xf>
    <xf numFmtId="0" fontId="28" fillId="6" borderId="6" xfId="4" applyFont="1" applyFill="1" applyBorder="1" applyAlignment="1">
      <alignment horizontal="center" wrapText="1"/>
    </xf>
    <xf numFmtId="7" fontId="28" fillId="6" borderId="6" xfId="5" applyNumberFormat="1" applyFont="1" applyFill="1" applyBorder="1" applyAlignment="1" applyProtection="1">
      <alignment horizontal="center" wrapText="1"/>
    </xf>
    <xf numFmtId="172" fontId="30" fillId="0" borderId="0" xfId="1" applyNumberFormat="1" applyFont="1" applyFill="1" applyAlignment="1">
      <alignment horizontal="center"/>
    </xf>
    <xf numFmtId="172" fontId="28" fillId="0" borderId="0" xfId="1" applyNumberFormat="1" applyFont="1" applyFill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0" fillId="0" borderId="0" xfId="0" applyFont="1" applyFill="1"/>
    <xf numFmtId="172" fontId="2" fillId="0" borderId="0" xfId="1" applyNumberFormat="1" applyFont="1" applyAlignment="1">
      <alignment horizontal="center"/>
    </xf>
    <xf numFmtId="173" fontId="32" fillId="0" borderId="0" xfId="6" applyFont="1"/>
    <xf numFmtId="0" fontId="34" fillId="0" borderId="0" xfId="8" applyFont="1"/>
    <xf numFmtId="0" fontId="0" fillId="0" borderId="0" xfId="0" applyFill="1" applyBorder="1" applyAlignment="1">
      <alignment horizontal="center"/>
    </xf>
    <xf numFmtId="0" fontId="12" fillId="0" borderId="0" xfId="0" applyFont="1"/>
    <xf numFmtId="0" fontId="1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4" fontId="1" fillId="0" borderId="0" xfId="1" applyFont="1"/>
    <xf numFmtId="44" fontId="1" fillId="0" borderId="0" xfId="1" applyFont="1" applyAlignment="1">
      <alignment horizontal="right"/>
    </xf>
    <xf numFmtId="3" fontId="2" fillId="0" borderId="0" xfId="0" applyNumberFormat="1" applyFont="1"/>
    <xf numFmtId="166" fontId="2" fillId="0" borderId="0" xfId="1" applyNumberFormat="1" applyFont="1"/>
    <xf numFmtId="171" fontId="0" fillId="0" borderId="0" xfId="2" applyNumberFormat="1" applyFont="1"/>
    <xf numFmtId="167" fontId="0" fillId="0" borderId="0" xfId="3" applyNumberFormat="1" applyFont="1"/>
    <xf numFmtId="173" fontId="35" fillId="0" borderId="0" xfId="6" applyFont="1"/>
    <xf numFmtId="0" fontId="35" fillId="0" borderId="0" xfId="8" applyFont="1"/>
    <xf numFmtId="173" fontId="35" fillId="0" borderId="0" xfId="6" applyFont="1" applyFill="1" applyBorder="1"/>
    <xf numFmtId="173" fontId="35" fillId="0" borderId="0" xfId="6" applyFont="1" applyFill="1"/>
    <xf numFmtId="3" fontId="35" fillId="0" borderId="0" xfId="6" applyNumberFormat="1" applyFont="1"/>
    <xf numFmtId="3" fontId="35" fillId="0" borderId="0" xfId="6" applyNumberFormat="1" applyFont="1" applyFill="1"/>
    <xf numFmtId="0" fontId="35" fillId="0" borderId="0" xfId="8" applyFont="1" applyAlignment="1">
      <alignment wrapText="1"/>
    </xf>
    <xf numFmtId="3" fontId="35" fillId="0" borderId="0" xfId="8" applyNumberFormat="1" applyFont="1"/>
    <xf numFmtId="0" fontId="34" fillId="0" borderId="0" xfId="8" applyFont="1" applyAlignment="1">
      <alignment horizontal="right"/>
    </xf>
    <xf numFmtId="0" fontId="36" fillId="0" borderId="0" xfId="8" applyFont="1"/>
    <xf numFmtId="173" fontId="35" fillId="0" borderId="0" xfId="6" applyFont="1" applyAlignment="1">
      <alignment horizontal="left"/>
    </xf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44" fontId="0" fillId="0" borderId="0" xfId="1" applyNumberFormat="1" applyFont="1" applyBorder="1" applyAlignment="1">
      <alignment horizontal="right"/>
    </xf>
    <xf numFmtId="44" fontId="0" fillId="0" borderId="23" xfId="1" applyNumberFormat="1" applyFont="1" applyBorder="1" applyAlignment="1">
      <alignment horizontal="right"/>
    </xf>
    <xf numFmtId="0" fontId="28" fillId="6" borderId="25" xfId="4" applyFont="1" applyFill="1" applyBorder="1" applyAlignment="1">
      <alignment horizontal="center" wrapText="1"/>
    </xf>
    <xf numFmtId="7" fontId="28" fillId="6" borderId="25" xfId="5" applyNumberFormat="1" applyFont="1" applyFill="1" applyBorder="1" applyAlignment="1" applyProtection="1">
      <alignment horizontal="center" wrapText="1"/>
    </xf>
    <xf numFmtId="0" fontId="0" fillId="6" borderId="3" xfId="0" applyFill="1" applyBorder="1"/>
    <xf numFmtId="0" fontId="0" fillId="6" borderId="3" xfId="0" applyFill="1" applyBorder="1" applyAlignment="1">
      <alignment horizontal="right"/>
    </xf>
    <xf numFmtId="166" fontId="0" fillId="6" borderId="3" xfId="1" applyNumberFormat="1" applyFont="1" applyFill="1" applyBorder="1" applyAlignment="1">
      <alignment horizontal="right"/>
    </xf>
    <xf numFmtId="44" fontId="0" fillId="6" borderId="3" xfId="1" applyFont="1" applyFill="1" applyBorder="1"/>
    <xf numFmtId="44" fontId="0" fillId="6" borderId="3" xfId="0" applyNumberFormat="1" applyFill="1" applyBorder="1"/>
    <xf numFmtId="44" fontId="0" fillId="6" borderId="27" xfId="1" applyNumberFormat="1" applyFont="1" applyFill="1" applyBorder="1" applyAlignment="1">
      <alignment horizontal="right"/>
    </xf>
    <xf numFmtId="44" fontId="0" fillId="6" borderId="3" xfId="0" applyNumberFormat="1" applyFill="1" applyBorder="1" applyAlignment="1">
      <alignment horizontal="right"/>
    </xf>
    <xf numFmtId="171" fontId="0" fillId="6" borderId="3" xfId="2" applyNumberFormat="1" applyFont="1" applyFill="1" applyBorder="1" applyAlignment="1">
      <alignment horizontal="right"/>
    </xf>
    <xf numFmtId="3" fontId="0" fillId="6" borderId="3" xfId="0" applyNumberFormat="1" applyFill="1" applyBorder="1" applyAlignment="1">
      <alignment horizontal="right"/>
    </xf>
    <xf numFmtId="166" fontId="0" fillId="6" borderId="3" xfId="0" applyNumberFormat="1" applyFill="1" applyBorder="1" applyAlignment="1">
      <alignment horizontal="right"/>
    </xf>
    <xf numFmtId="166" fontId="0" fillId="6" borderId="4" xfId="0" applyNumberFormat="1" applyFill="1" applyBorder="1" applyAlignment="1">
      <alignment horizontal="right"/>
    </xf>
    <xf numFmtId="0" fontId="0" fillId="6" borderId="0" xfId="0" applyFill="1" applyBorder="1"/>
    <xf numFmtId="0" fontId="0" fillId="6" borderId="0" xfId="0" applyFill="1" applyBorder="1" applyAlignment="1">
      <alignment horizontal="right"/>
    </xf>
    <xf numFmtId="166" fontId="0" fillId="6" borderId="0" xfId="1" applyNumberFormat="1" applyFont="1" applyFill="1" applyBorder="1" applyAlignment="1">
      <alignment horizontal="right"/>
    </xf>
    <xf numFmtId="44" fontId="0" fillId="6" borderId="0" xfId="1" applyFont="1" applyFill="1" applyBorder="1"/>
    <xf numFmtId="44" fontId="0" fillId="6" borderId="0" xfId="0" applyNumberFormat="1" applyFill="1" applyBorder="1"/>
    <xf numFmtId="44" fontId="0" fillId="6" borderId="26" xfId="0" applyNumberFormat="1" applyFill="1" applyBorder="1"/>
    <xf numFmtId="44" fontId="0" fillId="6" borderId="26" xfId="1" applyNumberFormat="1" applyFont="1" applyFill="1" applyBorder="1" applyAlignment="1">
      <alignment horizontal="right"/>
    </xf>
    <xf numFmtId="44" fontId="0" fillId="6" borderId="0" xfId="0" applyNumberFormat="1" applyFill="1" applyBorder="1" applyAlignment="1">
      <alignment horizontal="right"/>
    </xf>
    <xf numFmtId="171" fontId="0" fillId="6" borderId="0" xfId="2" applyNumberFormat="1" applyFont="1" applyFill="1" applyBorder="1" applyAlignment="1">
      <alignment horizontal="right"/>
    </xf>
    <xf numFmtId="3" fontId="0" fillId="6" borderId="0" xfId="0" applyNumberFormat="1" applyFill="1" applyBorder="1" applyAlignment="1">
      <alignment horizontal="right"/>
    </xf>
    <xf numFmtId="166" fontId="0" fillId="6" borderId="0" xfId="0" applyNumberFormat="1" applyFill="1" applyBorder="1" applyAlignment="1">
      <alignment horizontal="right"/>
    </xf>
    <xf numFmtId="166" fontId="0" fillId="6" borderId="21" xfId="0" applyNumberFormat="1" applyFill="1" applyBorder="1" applyAlignment="1">
      <alignment horizontal="right"/>
    </xf>
    <xf numFmtId="0" fontId="0" fillId="6" borderId="23" xfId="0" applyFill="1" applyBorder="1"/>
    <xf numFmtId="0" fontId="0" fillId="6" borderId="23" xfId="0" applyFill="1" applyBorder="1" applyAlignment="1">
      <alignment horizontal="right"/>
    </xf>
    <xf numFmtId="166" fontId="0" fillId="6" borderId="23" xfId="1" applyNumberFormat="1" applyFont="1" applyFill="1" applyBorder="1" applyAlignment="1">
      <alignment horizontal="right"/>
    </xf>
    <xf numFmtId="44" fontId="0" fillId="6" borderId="23" xfId="1" applyFont="1" applyFill="1" applyBorder="1"/>
    <xf numFmtId="44" fontId="0" fillId="6" borderId="23" xfId="0" applyNumberFormat="1" applyFill="1" applyBorder="1"/>
    <xf numFmtId="44" fontId="0" fillId="6" borderId="28" xfId="0" applyNumberFormat="1" applyFill="1" applyBorder="1"/>
    <xf numFmtId="44" fontId="0" fillId="6" borderId="28" xfId="1" applyNumberFormat="1" applyFont="1" applyFill="1" applyBorder="1" applyAlignment="1">
      <alignment horizontal="right"/>
    </xf>
    <xf numFmtId="44" fontId="0" fillId="6" borderId="23" xfId="0" applyNumberFormat="1" applyFill="1" applyBorder="1" applyAlignment="1">
      <alignment horizontal="right"/>
    </xf>
    <xf numFmtId="171" fontId="0" fillId="6" borderId="23" xfId="2" applyNumberFormat="1" applyFont="1" applyFill="1" applyBorder="1" applyAlignment="1">
      <alignment horizontal="right"/>
    </xf>
    <xf numFmtId="3" fontId="0" fillId="6" borderId="23" xfId="0" applyNumberFormat="1" applyFill="1" applyBorder="1" applyAlignment="1">
      <alignment horizontal="right"/>
    </xf>
    <xf numFmtId="166" fontId="0" fillId="6" borderId="23" xfId="0" applyNumberFormat="1" applyFill="1" applyBorder="1" applyAlignment="1">
      <alignment horizontal="right"/>
    </xf>
    <xf numFmtId="166" fontId="0" fillId="6" borderId="24" xfId="0" applyNumberFormat="1" applyFill="1" applyBorder="1" applyAlignment="1">
      <alignment horizontal="right"/>
    </xf>
    <xf numFmtId="44" fontId="0" fillId="7" borderId="27" xfId="0" applyNumberFormat="1" applyFill="1" applyBorder="1"/>
    <xf numFmtId="44" fontId="0" fillId="7" borderId="26" xfId="0" applyNumberFormat="1" applyFill="1" applyBorder="1"/>
    <xf numFmtId="44" fontId="0" fillId="7" borderId="28" xfId="0" applyNumberFormat="1" applyFill="1" applyBorder="1"/>
    <xf numFmtId="0" fontId="28" fillId="7" borderId="6" xfId="4" applyFont="1" applyFill="1" applyBorder="1" applyAlignment="1">
      <alignment horizontal="center" wrapText="1"/>
    </xf>
    <xf numFmtId="44" fontId="0" fillId="7" borderId="0" xfId="0" applyNumberFormat="1" applyFill="1" applyBorder="1"/>
    <xf numFmtId="44" fontId="0" fillId="7" borderId="23" xfId="0" applyNumberFormat="1" applyFill="1" applyBorder="1"/>
    <xf numFmtId="0" fontId="28" fillId="3" borderId="6" xfId="4" applyFont="1" applyFill="1" applyBorder="1" applyAlignment="1">
      <alignment horizontal="center" wrapText="1"/>
    </xf>
    <xf numFmtId="44" fontId="0" fillId="3" borderId="0" xfId="0" applyNumberFormat="1" applyFill="1" applyBorder="1"/>
    <xf numFmtId="44" fontId="0" fillId="3" borderId="23" xfId="0" applyNumberFormat="1" applyFill="1" applyBorder="1"/>
    <xf numFmtId="0" fontId="37" fillId="0" borderId="0" xfId="0" applyFont="1" applyAlignment="1">
      <alignment horizontal="center"/>
    </xf>
    <xf numFmtId="44" fontId="0" fillId="6" borderId="4" xfId="0" applyNumberFormat="1" applyFill="1" applyBorder="1"/>
    <xf numFmtId="44" fontId="0" fillId="6" borderId="21" xfId="0" applyNumberFormat="1" applyFill="1" applyBorder="1"/>
    <xf numFmtId="44" fontId="0" fillId="6" borderId="24" xfId="0" applyNumberFormat="1" applyFill="1" applyBorder="1"/>
    <xf numFmtId="44" fontId="0" fillId="7" borderId="20" xfId="1" applyFont="1" applyFill="1" applyBorder="1" applyAlignment="1">
      <alignment horizontal="right"/>
    </xf>
    <xf numFmtId="44" fontId="0" fillId="7" borderId="4" xfId="1" applyNumberFormat="1" applyFont="1" applyFill="1" applyBorder="1" applyAlignment="1">
      <alignment horizontal="right"/>
    </xf>
    <xf numFmtId="44" fontId="0" fillId="7" borderId="21" xfId="1" applyNumberFormat="1" applyFont="1" applyFill="1" applyBorder="1" applyAlignment="1">
      <alignment horizontal="right"/>
    </xf>
    <xf numFmtId="44" fontId="0" fillId="7" borderId="24" xfId="1" applyNumberFormat="1" applyFont="1" applyFill="1" applyBorder="1" applyAlignment="1">
      <alignment horizontal="right"/>
    </xf>
    <xf numFmtId="0" fontId="2" fillId="6" borderId="2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center" wrapText="1"/>
    </xf>
    <xf numFmtId="44" fontId="0" fillId="10" borderId="20" xfId="1" applyFont="1" applyFill="1" applyBorder="1" applyAlignment="1">
      <alignment horizontal="right"/>
    </xf>
    <xf numFmtId="44" fontId="0" fillId="11" borderId="20" xfId="1" applyFont="1" applyFill="1" applyBorder="1" applyAlignment="1">
      <alignment horizontal="right"/>
    </xf>
    <xf numFmtId="44" fontId="0" fillId="6" borderId="20" xfId="1" applyNumberFormat="1" applyFont="1" applyFill="1" applyBorder="1" applyAlignment="1">
      <alignment horizontal="right"/>
    </xf>
    <xf numFmtId="44" fontId="0" fillId="6" borderId="22" xfId="1" applyNumberFormat="1" applyFont="1" applyFill="1" applyBorder="1" applyAlignment="1">
      <alignment horizontal="right"/>
    </xf>
    <xf numFmtId="44" fontId="0" fillId="10" borderId="2" xfId="1" applyNumberFormat="1" applyFont="1" applyFill="1" applyBorder="1" applyAlignment="1">
      <alignment horizontal="right"/>
    </xf>
    <xf numFmtId="44" fontId="0" fillId="10" borderId="20" xfId="1" applyNumberFormat="1" applyFont="1" applyFill="1" applyBorder="1" applyAlignment="1">
      <alignment horizontal="right"/>
    </xf>
    <xf numFmtId="44" fontId="0" fillId="9" borderId="20" xfId="1" applyNumberFormat="1" applyFont="1" applyFill="1" applyBorder="1" applyAlignment="1">
      <alignment horizontal="right"/>
    </xf>
    <xf numFmtId="44" fontId="0" fillId="11" borderId="20" xfId="1" applyNumberFormat="1" applyFont="1" applyFill="1" applyBorder="1" applyAlignment="1">
      <alignment horizontal="right"/>
    </xf>
    <xf numFmtId="44" fontId="0" fillId="7" borderId="20" xfId="1" applyNumberFormat="1" applyFont="1" applyFill="1" applyBorder="1" applyAlignment="1">
      <alignment horizontal="right"/>
    </xf>
    <xf numFmtId="44" fontId="0" fillId="10" borderId="22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6" fillId="6" borderId="2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6" fillId="6" borderId="22" xfId="0" applyFont="1" applyFill="1" applyBorder="1" applyAlignment="1">
      <alignment horizontal="center"/>
    </xf>
    <xf numFmtId="0" fontId="16" fillId="6" borderId="23" xfId="0" applyFont="1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3" xfId="0" applyFill="1" applyBorder="1" applyAlignment="1">
      <alignment horizontal="right"/>
    </xf>
    <xf numFmtId="0" fontId="16" fillId="7" borderId="2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Border="1"/>
    <xf numFmtId="0" fontId="0" fillId="7" borderId="0" xfId="0" applyFill="1" applyBorder="1" applyAlignment="1">
      <alignment horizontal="right"/>
    </xf>
    <xf numFmtId="0" fontId="16" fillId="7" borderId="22" xfId="0" applyFont="1" applyFill="1" applyBorder="1" applyAlignment="1">
      <alignment horizontal="center"/>
    </xf>
    <xf numFmtId="0" fontId="16" fillId="7" borderId="23" xfId="0" applyFon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3" xfId="0" applyFill="1" applyBorder="1"/>
    <xf numFmtId="0" fontId="0" fillId="7" borderId="23" xfId="0" applyFill="1" applyBorder="1" applyAlignment="1">
      <alignment horizontal="right"/>
    </xf>
    <xf numFmtId="44" fontId="0" fillId="7" borderId="3" xfId="1" applyFont="1" applyFill="1" applyBorder="1"/>
    <xf numFmtId="44" fontId="0" fillId="7" borderId="3" xfId="0" applyNumberFormat="1" applyFill="1" applyBorder="1"/>
    <xf numFmtId="44" fontId="0" fillId="7" borderId="27" xfId="1" applyNumberFormat="1" applyFont="1" applyFill="1" applyBorder="1" applyAlignment="1">
      <alignment horizontal="right"/>
    </xf>
    <xf numFmtId="44" fontId="0" fillId="7" borderId="3" xfId="0" applyNumberFormat="1" applyFill="1" applyBorder="1" applyAlignment="1">
      <alignment horizontal="right"/>
    </xf>
    <xf numFmtId="171" fontId="0" fillId="7" borderId="3" xfId="2" applyNumberFormat="1" applyFont="1" applyFill="1" applyBorder="1" applyAlignment="1">
      <alignment horizontal="right"/>
    </xf>
    <xf numFmtId="3" fontId="0" fillId="7" borderId="3" xfId="0" applyNumberFormat="1" applyFill="1" applyBorder="1" applyAlignment="1">
      <alignment horizontal="right"/>
    </xf>
    <xf numFmtId="166" fontId="0" fillId="7" borderId="3" xfId="0" applyNumberFormat="1" applyFill="1" applyBorder="1" applyAlignment="1">
      <alignment horizontal="right"/>
    </xf>
    <xf numFmtId="166" fontId="0" fillId="7" borderId="4" xfId="0" applyNumberFormat="1" applyFill="1" applyBorder="1" applyAlignment="1">
      <alignment horizontal="right"/>
    </xf>
    <xf numFmtId="44" fontId="0" fillId="7" borderId="0" xfId="1" applyFont="1" applyFill="1" applyBorder="1"/>
    <xf numFmtId="44" fontId="0" fillId="7" borderId="26" xfId="1" applyNumberFormat="1" applyFont="1" applyFill="1" applyBorder="1" applyAlignment="1">
      <alignment horizontal="right"/>
    </xf>
    <xf numFmtId="44" fontId="0" fillId="7" borderId="0" xfId="0" applyNumberFormat="1" applyFill="1" applyBorder="1" applyAlignment="1">
      <alignment horizontal="right"/>
    </xf>
    <xf numFmtId="171" fontId="0" fillId="7" borderId="0" xfId="2" applyNumberFormat="1" applyFont="1" applyFill="1" applyBorder="1" applyAlignment="1">
      <alignment horizontal="right"/>
    </xf>
    <xf numFmtId="3" fontId="0" fillId="7" borderId="0" xfId="0" applyNumberFormat="1" applyFill="1" applyBorder="1" applyAlignment="1">
      <alignment horizontal="right"/>
    </xf>
    <xf numFmtId="166" fontId="0" fillId="7" borderId="0" xfId="0" applyNumberFormat="1" applyFill="1" applyBorder="1" applyAlignment="1">
      <alignment horizontal="right"/>
    </xf>
    <xf numFmtId="166" fontId="0" fillId="7" borderId="21" xfId="0" applyNumberFormat="1" applyFill="1" applyBorder="1" applyAlignment="1">
      <alignment horizontal="right"/>
    </xf>
    <xf numFmtId="44" fontId="0" fillId="7" borderId="23" xfId="1" applyFont="1" applyFill="1" applyBorder="1"/>
    <xf numFmtId="44" fontId="0" fillId="7" borderId="28" xfId="1" applyNumberFormat="1" applyFont="1" applyFill="1" applyBorder="1" applyAlignment="1">
      <alignment horizontal="right"/>
    </xf>
    <xf numFmtId="44" fontId="0" fillId="7" borderId="23" xfId="0" applyNumberFormat="1" applyFill="1" applyBorder="1" applyAlignment="1">
      <alignment horizontal="right"/>
    </xf>
    <xf numFmtId="171" fontId="0" fillId="7" borderId="23" xfId="2" applyNumberFormat="1" applyFont="1" applyFill="1" applyBorder="1" applyAlignment="1">
      <alignment horizontal="right"/>
    </xf>
    <xf numFmtId="3" fontId="0" fillId="7" borderId="23" xfId="0" applyNumberFormat="1" applyFill="1" applyBorder="1" applyAlignment="1">
      <alignment horizontal="right"/>
    </xf>
    <xf numFmtId="166" fontId="0" fillId="7" borderId="23" xfId="0" applyNumberFormat="1" applyFill="1" applyBorder="1" applyAlignment="1">
      <alignment horizontal="right"/>
    </xf>
    <xf numFmtId="166" fontId="0" fillId="7" borderId="24" xfId="0" applyNumberFormat="1" applyFill="1" applyBorder="1" applyAlignment="1">
      <alignment horizontal="right"/>
    </xf>
    <xf numFmtId="44" fontId="0" fillId="9" borderId="2" xfId="1" applyFont="1" applyFill="1" applyBorder="1" applyAlignment="1">
      <alignment horizontal="right"/>
    </xf>
    <xf numFmtId="44" fontId="0" fillId="8" borderId="22" xfId="1" applyFont="1" applyFill="1" applyBorder="1" applyAlignment="1">
      <alignment horizontal="right"/>
    </xf>
    <xf numFmtId="0" fontId="28" fillId="6" borderId="29" xfId="4" quotePrefix="1" applyFont="1" applyFill="1" applyBorder="1" applyAlignment="1">
      <alignment horizontal="center" wrapText="1"/>
    </xf>
    <xf numFmtId="0" fontId="2" fillId="6" borderId="30" xfId="0" applyFont="1" applyFill="1" applyBorder="1" applyAlignment="1">
      <alignment horizontal="center" wrapText="1"/>
    </xf>
    <xf numFmtId="44" fontId="0" fillId="6" borderId="4" xfId="1" applyNumberFormat="1" applyFont="1" applyFill="1" applyBorder="1" applyAlignment="1">
      <alignment horizontal="right"/>
    </xf>
    <xf numFmtId="44" fontId="0" fillId="6" borderId="21" xfId="1" applyNumberFormat="1" applyFont="1" applyFill="1" applyBorder="1" applyAlignment="1">
      <alignment horizontal="right"/>
    </xf>
    <xf numFmtId="44" fontId="0" fillId="6" borderId="24" xfId="1" applyNumberFormat="1" applyFont="1" applyFill="1" applyBorder="1" applyAlignment="1">
      <alignment horizontal="right"/>
    </xf>
    <xf numFmtId="44" fontId="12" fillId="7" borderId="0" xfId="0" applyNumberFormat="1" applyFont="1" applyFill="1" applyBorder="1"/>
    <xf numFmtId="44" fontId="12" fillId="7" borderId="23" xfId="0" applyNumberFormat="1" applyFont="1" applyFill="1" applyBorder="1"/>
    <xf numFmtId="44" fontId="14" fillId="0" borderId="0" xfId="0" applyNumberFormat="1" applyFont="1"/>
    <xf numFmtId="44" fontId="0" fillId="0" borderId="0" xfId="1" applyNumberFormat="1" applyFont="1"/>
    <xf numFmtId="44" fontId="16" fillId="7" borderId="0" xfId="1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 wrapText="1"/>
    </xf>
    <xf numFmtId="44" fontId="16" fillId="7" borderId="22" xfId="1" applyFont="1" applyFill="1" applyBorder="1" applyAlignment="1">
      <alignment horizontal="center"/>
    </xf>
    <xf numFmtId="44" fontId="16" fillId="7" borderId="23" xfId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9" xfId="0" applyBorder="1"/>
    <xf numFmtId="43" fontId="0" fillId="0" borderId="0" xfId="0" applyNumberFormat="1"/>
    <xf numFmtId="0" fontId="0" fillId="0" borderId="0" xfId="0" applyNumberFormat="1" applyFill="1"/>
    <xf numFmtId="44" fontId="0" fillId="0" borderId="0" xfId="1" applyFont="1" applyFill="1"/>
    <xf numFmtId="164" fontId="0" fillId="0" borderId="0" xfId="2" applyNumberFormat="1" applyFont="1" applyFill="1"/>
    <xf numFmtId="0" fontId="8" fillId="0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right" vertical="center"/>
    </xf>
    <xf numFmtId="0" fontId="38" fillId="0" borderId="1" xfId="0" applyFont="1" applyFill="1" applyBorder="1" applyAlignment="1">
      <alignment horizontal="right" vertical="center"/>
    </xf>
    <xf numFmtId="44" fontId="38" fillId="0" borderId="1" xfId="1" applyFont="1" applyFill="1" applyBorder="1" applyAlignment="1">
      <alignment horizontal="right" vertical="center"/>
    </xf>
    <xf numFmtId="0" fontId="38" fillId="0" borderId="1" xfId="0" applyFont="1" applyBorder="1" applyAlignment="1">
      <alignment vertical="center"/>
    </xf>
    <xf numFmtId="0" fontId="8" fillId="0" borderId="1" xfId="0" applyNumberFormat="1" applyFont="1" applyFill="1" applyBorder="1" applyAlignment="1">
      <alignment horizontal="right" vertical="center"/>
    </xf>
    <xf numFmtId="49" fontId="8" fillId="0" borderId="1" xfId="0" quotePrefix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44" fontId="16" fillId="7" borderId="20" xfId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7" fontId="0" fillId="0" borderId="9" xfId="0" applyNumberFormat="1" applyBorder="1"/>
    <xf numFmtId="44" fontId="16" fillId="7" borderId="2" xfId="1" applyFont="1" applyFill="1" applyBorder="1" applyAlignment="1">
      <alignment horizontal="center"/>
    </xf>
    <xf numFmtId="44" fontId="16" fillId="7" borderId="3" xfId="1" applyFont="1" applyFill="1" applyBorder="1" applyAlignment="1">
      <alignment horizontal="center"/>
    </xf>
    <xf numFmtId="44" fontId="0" fillId="0" borderId="3" xfId="1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Border="1"/>
    <xf numFmtId="0" fontId="0" fillId="0" borderId="10" xfId="0" applyFill="1" applyBorder="1"/>
    <xf numFmtId="0" fontId="0" fillId="0" borderId="11" xfId="0" applyFill="1" applyBorder="1"/>
    <xf numFmtId="44" fontId="0" fillId="0" borderId="12" xfId="0" applyNumberFormat="1" applyFill="1" applyBorder="1"/>
    <xf numFmtId="0" fontId="0" fillId="0" borderId="15" xfId="0" applyFill="1" applyBorder="1"/>
    <xf numFmtId="0" fontId="0" fillId="0" borderId="16" xfId="0" applyFill="1" applyBorder="1"/>
    <xf numFmtId="10" fontId="0" fillId="0" borderId="15" xfId="0" applyNumberFormat="1" applyFill="1" applyBorder="1"/>
    <xf numFmtId="44" fontId="0" fillId="0" borderId="16" xfId="0" applyNumberFormat="1" applyFill="1" applyBorder="1"/>
    <xf numFmtId="44" fontId="0" fillId="0" borderId="16" xfId="1" applyFont="1" applyFill="1" applyBorder="1"/>
    <xf numFmtId="44" fontId="0" fillId="0" borderId="15" xfId="0" applyNumberFormat="1" applyBorder="1"/>
    <xf numFmtId="44" fontId="0" fillId="0" borderId="16" xfId="0" applyNumberFormat="1" applyBorder="1"/>
    <xf numFmtId="44" fontId="0" fillId="0" borderId="13" xfId="0" applyNumberFormat="1" applyBorder="1"/>
    <xf numFmtId="44" fontId="0" fillId="0" borderId="14" xfId="0" applyNumberFormat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8" fillId="0" borderId="2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1" fillId="12" borderId="0" xfId="0" applyFont="1" applyFill="1" applyBorder="1" applyAlignment="1">
      <alignment horizontal="center" wrapText="1"/>
    </xf>
    <xf numFmtId="44" fontId="1" fillId="6" borderId="2" xfId="1" applyNumberFormat="1" applyFont="1" applyFill="1" applyBorder="1" applyAlignment="1">
      <alignment horizontal="right"/>
    </xf>
    <xf numFmtId="0" fontId="39" fillId="0" borderId="0" xfId="0" applyFont="1"/>
    <xf numFmtId="0" fontId="39" fillId="0" borderId="0" xfId="0" applyFont="1" applyAlignment="1">
      <alignment vertical="center"/>
    </xf>
    <xf numFmtId="0" fontId="40" fillId="0" borderId="0" xfId="8" applyFont="1"/>
    <xf numFmtId="0" fontId="40" fillId="0" borderId="0" xfId="0" applyFont="1" applyBorder="1" applyAlignment="1" applyProtection="1">
      <protection locked="0"/>
    </xf>
    <xf numFmtId="0" fontId="39" fillId="0" borderId="0" xfId="0" applyFont="1" applyAlignment="1">
      <alignment horizontal="right"/>
    </xf>
    <xf numFmtId="44" fontId="39" fillId="0" borderId="0" xfId="1" applyFont="1" applyAlignment="1">
      <alignment horizontal="right"/>
    </xf>
    <xf numFmtId="0" fontId="2" fillId="6" borderId="31" xfId="0" applyFont="1" applyFill="1" applyBorder="1" applyAlignment="1">
      <alignment horizontal="center" wrapText="1"/>
    </xf>
  </cellXfs>
  <cellStyles count="9">
    <cellStyle name="Comma" xfId="3" builtinId="3"/>
    <cellStyle name="Currency" xfId="1" builtinId="4"/>
    <cellStyle name="Currency 2" xfId="5"/>
    <cellStyle name="Normal" xfId="0" builtinId="0"/>
    <cellStyle name="Normal 2" xfId="4"/>
    <cellStyle name="Normal 2 2" xfId="6"/>
    <cellStyle name="Normal 3" xfId="8"/>
    <cellStyle name="Normal 76" xfId="7"/>
    <cellStyle name="Percent" xfId="2" builtinId="5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7"/>
  <sheetViews>
    <sheetView tabSelected="1" zoomScale="80" zoomScaleNormal="80" workbookViewId="0"/>
  </sheetViews>
  <sheetFormatPr defaultRowHeight="15" x14ac:dyDescent="0.25"/>
  <cols>
    <col min="1" max="1" width="10" style="233" bestFit="1" customWidth="1"/>
    <col min="2" max="2" width="11" style="233" customWidth="1"/>
    <col min="3" max="3" width="7.85546875" style="233" bestFit="1" customWidth="1"/>
    <col min="4" max="4" width="10.7109375" style="233" bestFit="1" customWidth="1"/>
    <col min="5" max="5" width="30.140625" bestFit="1" customWidth="1"/>
    <col min="6" max="7" width="19.85546875" bestFit="1" customWidth="1"/>
    <col min="8" max="8" width="10.5703125" bestFit="1" customWidth="1"/>
    <col min="9" max="9" width="12.7109375" bestFit="1" customWidth="1"/>
    <col min="10" max="11" width="12.7109375" customWidth="1"/>
    <col min="12" max="18" width="14.5703125" customWidth="1"/>
    <col min="19" max="19" width="13.42578125" customWidth="1"/>
    <col min="20" max="23" width="14.5703125" customWidth="1"/>
    <col min="24" max="25" width="9.140625" customWidth="1"/>
    <col min="26" max="27" width="10.28515625" customWidth="1"/>
    <col min="28" max="28" width="9.5703125" customWidth="1"/>
    <col min="29" max="29" width="13" customWidth="1"/>
    <col min="30" max="30" width="9.140625" customWidth="1"/>
    <col min="31" max="31" width="13.85546875" customWidth="1"/>
    <col min="32" max="32" width="9.140625" customWidth="1"/>
    <col min="33" max="33" width="11.28515625" customWidth="1"/>
    <col min="34" max="34" width="16.28515625" customWidth="1"/>
    <col min="35" max="35" width="13.42578125" customWidth="1"/>
    <col min="36" max="36" width="15.28515625" customWidth="1"/>
    <col min="37" max="37" width="15" customWidth="1"/>
  </cols>
  <sheetData>
    <row r="1" spans="1:37" x14ac:dyDescent="0.25">
      <c r="T1" s="132">
        <v>7.0459999999999995E-2</v>
      </c>
      <c r="U1" s="2" t="s">
        <v>293</v>
      </c>
    </row>
    <row r="2" spans="1:37" x14ac:dyDescent="0.25">
      <c r="T2" s="132">
        <v>2.4279999999999999E-2</v>
      </c>
      <c r="U2" s="2" t="s">
        <v>294</v>
      </c>
    </row>
    <row r="3" spans="1:37" x14ac:dyDescent="0.25">
      <c r="T3" s="132">
        <v>9.8799999999999999E-3</v>
      </c>
      <c r="U3" s="2" t="s">
        <v>295</v>
      </c>
    </row>
    <row r="4" spans="1:37" x14ac:dyDescent="0.25">
      <c r="T4" s="133">
        <v>0</v>
      </c>
      <c r="U4" s="2" t="s">
        <v>296</v>
      </c>
    </row>
    <row r="5" spans="1:37" x14ac:dyDescent="0.25">
      <c r="T5" s="134">
        <v>0</v>
      </c>
      <c r="U5" s="2" t="s">
        <v>297</v>
      </c>
    </row>
    <row r="6" spans="1:37" x14ac:dyDescent="0.25">
      <c r="S6" s="142" t="s">
        <v>502</v>
      </c>
      <c r="T6" s="134">
        <f>'Fixed Carrying Cost'!F73</f>
        <v>0.17832818340057741</v>
      </c>
      <c r="U6" s="2" t="s">
        <v>500</v>
      </c>
    </row>
    <row r="7" spans="1:37" x14ac:dyDescent="0.25">
      <c r="S7" s="142" t="s">
        <v>503</v>
      </c>
      <c r="T7" s="134">
        <f>'Fixed Carrying Cost'!F64</f>
        <v>0.15166151673391073</v>
      </c>
      <c r="U7" s="2" t="s">
        <v>565</v>
      </c>
    </row>
    <row r="8" spans="1:37" x14ac:dyDescent="0.25">
      <c r="S8" s="142" t="s">
        <v>503</v>
      </c>
      <c r="T8" s="134">
        <f>'Fixed Carrying Cost'!F33</f>
        <v>0.15166151673391073</v>
      </c>
      <c r="U8" s="2" t="s">
        <v>499</v>
      </c>
    </row>
    <row r="9" spans="1:37" x14ac:dyDescent="0.25">
      <c r="S9" s="142" t="s">
        <v>492</v>
      </c>
      <c r="T9" s="135">
        <f>'Fixed Carrying Cost'!F55</f>
        <v>0.17065633221640586</v>
      </c>
      <c r="U9" s="136" t="s">
        <v>298</v>
      </c>
    </row>
    <row r="10" spans="1:37" x14ac:dyDescent="0.25">
      <c r="O10" s="211"/>
      <c r="P10" s="211"/>
      <c r="Q10" s="211"/>
      <c r="R10" s="211"/>
    </row>
    <row r="11" spans="1:37" ht="15.75" thickBot="1" x14ac:dyDescent="0.3">
      <c r="O11" s="211"/>
      <c r="P11" s="211"/>
      <c r="Q11" s="211"/>
      <c r="R11" s="211"/>
      <c r="T11" s="137">
        <f>T1-T2-T3</f>
        <v>3.6299999999999999E-2</v>
      </c>
      <c r="U11" s="2"/>
    </row>
    <row r="12" spans="1:37" ht="75.75" thickBot="1" x14ac:dyDescent="0.3">
      <c r="A12" s="347" t="s">
        <v>280</v>
      </c>
      <c r="B12" s="222" t="s">
        <v>193</v>
      </c>
      <c r="C12" s="222" t="s">
        <v>278</v>
      </c>
      <c r="D12" s="222" t="s">
        <v>219</v>
      </c>
      <c r="E12" s="129" t="s">
        <v>15</v>
      </c>
      <c r="F12" s="129" t="s">
        <v>279</v>
      </c>
      <c r="G12" s="129" t="s">
        <v>20</v>
      </c>
      <c r="H12" s="129" t="s">
        <v>222</v>
      </c>
      <c r="I12" s="129" t="s">
        <v>371</v>
      </c>
      <c r="J12" s="219" t="s">
        <v>486</v>
      </c>
      <c r="K12" s="220" t="s">
        <v>487</v>
      </c>
      <c r="L12" s="221" t="s">
        <v>194</v>
      </c>
      <c r="M12" s="293" t="s">
        <v>504</v>
      </c>
      <c r="N12" s="293" t="s">
        <v>505</v>
      </c>
      <c r="O12" s="220" t="s">
        <v>488</v>
      </c>
      <c r="P12" s="220" t="s">
        <v>489</v>
      </c>
      <c r="Q12" s="221" t="s">
        <v>281</v>
      </c>
      <c r="R12" s="283" t="s">
        <v>485</v>
      </c>
      <c r="S12" s="284" t="s">
        <v>282</v>
      </c>
      <c r="T12" s="222" t="s">
        <v>283</v>
      </c>
      <c r="U12" s="222" t="s">
        <v>284</v>
      </c>
      <c r="V12" s="222" t="s">
        <v>285</v>
      </c>
      <c r="W12" s="222" t="s">
        <v>286</v>
      </c>
      <c r="X12" s="130" t="s">
        <v>287</v>
      </c>
      <c r="Y12" s="208" t="s">
        <v>490</v>
      </c>
      <c r="Z12" s="130" t="s">
        <v>288</v>
      </c>
      <c r="AA12" s="208" t="s">
        <v>496</v>
      </c>
      <c r="AB12" s="205" t="s">
        <v>491</v>
      </c>
      <c r="AC12" s="165" t="s">
        <v>289</v>
      </c>
      <c r="AD12" s="166" t="s">
        <v>290</v>
      </c>
      <c r="AE12" s="131" t="s">
        <v>291</v>
      </c>
      <c r="AF12" s="131" t="s">
        <v>292</v>
      </c>
      <c r="AG12" s="130" t="s">
        <v>480</v>
      </c>
      <c r="AH12" s="131" t="s">
        <v>481</v>
      </c>
      <c r="AI12" s="131" t="s">
        <v>482</v>
      </c>
      <c r="AJ12" s="131" t="s">
        <v>483</v>
      </c>
      <c r="AK12" s="131" t="s">
        <v>484</v>
      </c>
    </row>
    <row r="13" spans="1:37" x14ac:dyDescent="0.25">
      <c r="A13" s="235" t="s">
        <v>195</v>
      </c>
      <c r="B13" s="236">
        <v>490</v>
      </c>
      <c r="C13" s="236" t="s">
        <v>197</v>
      </c>
      <c r="D13" s="237" t="str">
        <f>IF($C13="OH",HLOOKUP($B13,'Overhead Lights'!$C$5:$K$57,'Overhead Lights'!$A$10,FALSE),HLOOKUP($B13,'Underground Lights'!$C$4:$Q$80,'Underground Lights'!$A$9,FALSE))</f>
        <v>LED</v>
      </c>
      <c r="E13" s="167" t="str">
        <f>IF($C13="OH",HLOOKUP($B13,'Overhead Lights'!$C$5:$K$57,'Overhead Lights'!$A$7,FALSE),HLOOKUP($B13,'Underground Lights'!$C$4:$Q$80,'Underground Lights'!$A$6,FALSE))</f>
        <v>Cobra</v>
      </c>
      <c r="F13" s="167" t="str">
        <f>IF($C13="OH",HLOOKUP($B13,'Overhead Lights'!$C$5:$K$57,'Overhead Lights'!$A$8,FALSE),HLOOKUP($B13,'Underground Lights'!$C$4:$Q$80,'Underground Lights'!$A$7,FALSE))</f>
        <v>Fixture Only</v>
      </c>
      <c r="G13" s="167" t="str">
        <f>IF($C13="OH",HLOOKUP($B13,'Overhead Lights'!$C$5:$K$57,'Overhead Lights'!$A$11,FALSE),HLOOKUP($B13,'Underground Lights'!$C$4:$Q$80,'Underground Lights'!$A$10,FALSE))</f>
        <v>150w</v>
      </c>
      <c r="H13" s="167">
        <f>IF($C13="OH",HLOOKUP($B13,'Overhead Lights'!$C$5:$K$57,'Overhead Lights'!$A$12,FALSE),HLOOKUP($B13,'Underground Lights'!$C$4:$Q$80,'Underground Lights'!$A$11,FALSE))</f>
        <v>71</v>
      </c>
      <c r="I13" s="168" t="str">
        <f>IF($C13="OH",HLOOKUP($B13,'Overhead Lights'!$C$5:$K$57,'Overhead Lights'!$A$9,FALSE),HLOOKUP($B13,'Underground Lights'!$C$4:$Q$80,'Underground Lights'!$A$8,FALSE))</f>
        <v>5500-8200</v>
      </c>
      <c r="J13" s="340">
        <f>IFERROR(IF(C13="UG",VLOOKUP($AL13,'Maintenance &amp; NBV'!$B$43:$K$47,9,FALSE),0),0)</f>
        <v>0</v>
      </c>
      <c r="K13" s="169">
        <f>IF($C13="UG",HLOOKUP($B13,'Underground Lights'!$C$4:$S$80,67,FALSE),HLOOKUP($B13,'Overhead Lights'!$C$5:$K$57,47,FALSE))</f>
        <v>596.59608310775047</v>
      </c>
      <c r="L13" s="212">
        <f t="shared" ref="L13:L36" si="0">SUM(J13:K13)</f>
        <v>596.59608310775047</v>
      </c>
      <c r="M13" s="292" t="s">
        <v>492</v>
      </c>
      <c r="N13" s="292" t="s">
        <v>503</v>
      </c>
      <c r="O13" s="163">
        <f t="shared" ref="O13:O41" si="1">$J13*VLOOKUP($M13,$S$6:$T$9,2,FALSE)</f>
        <v>0</v>
      </c>
      <c r="P13" s="163">
        <f t="shared" ref="P13:P41" si="2">$K13*VLOOKUP($N13,$S$6:$T$9,2,FALSE)</f>
        <v>90.480666841631702</v>
      </c>
      <c r="Q13" s="213">
        <f t="shared" ref="Q13:Q41" si="3">P13+O13</f>
        <v>90.480666841631702</v>
      </c>
      <c r="R13" s="171">
        <f>IF($C13="OH",HLOOKUP($B13,'Overhead Lights'!$C$5:$K$57,52,FALSE),HLOOKUP($B13,'Underground Lights'!$C$4:$Q$84,79,FALSE))</f>
        <v>5.0519597889028978</v>
      </c>
      <c r="S13" s="285">
        <f t="shared" ref="S13:S41" si="4">SUM(R13:R13)</f>
        <v>5.0519597889028978</v>
      </c>
      <c r="T13" s="170">
        <f t="shared" ref="T13:T41" si="5">$T$11*(($H13/1000)*4000)</f>
        <v>10.309200000000001</v>
      </c>
      <c r="U13" s="170">
        <f t="shared" ref="U13:U41" si="6">($T$2*(($H13/1000)*4000))/12</f>
        <v>0.57462666666666662</v>
      </c>
      <c r="V13" s="170">
        <f t="shared" ref="V13:V41" si="7">($T$3*(($H13/1000)*4000))/12</f>
        <v>0.23382666666666665</v>
      </c>
      <c r="W13" s="170">
        <f t="shared" ref="W13:W41" si="8">($T$4*(($H13/1000)*4000))/12</f>
        <v>0</v>
      </c>
      <c r="X13" s="171">
        <f t="shared" ref="X13:X41" si="9">SUM(Q13,S13,T13)/12+U13+V13+W13</f>
        <v>9.6286055525445509</v>
      </c>
      <c r="Y13" s="171"/>
      <c r="Z13" s="171">
        <f t="shared" ref="Z13:Z37" si="10">X13*$T$5</f>
        <v>0</v>
      </c>
      <c r="AA13" s="171"/>
      <c r="AB13" s="171"/>
      <c r="AC13" s="202">
        <f t="shared" ref="AC13:AC41" si="11">SUM(X13,Z13)</f>
        <v>9.6286055525445509</v>
      </c>
      <c r="AD13" s="172">
        <f>IF($C13="OH",HLOOKUP($B13,'Overhead Lights'!$C$5:$K$57,'Overhead Lights'!$A$13,FALSE),HLOOKUP($B13,'Underground Lights'!$C$4:$Q$80,'Underground Lights'!$A$12,FALSE))</f>
        <v>16.329999999999998</v>
      </c>
      <c r="AE13" s="173">
        <f t="shared" ref="AE13:AE17" si="12">IFERROR(AC13-AD13,"-")</f>
        <v>-6.7013944474554474</v>
      </c>
      <c r="AF13" s="174">
        <f t="shared" ref="AF13:AF17" si="13">IFERROR(AE13/AD13,"-")</f>
        <v>-0.41037320560045609</v>
      </c>
      <c r="AG13" s="175">
        <f>IFERROR(SUMIFS('Forecasted Lights'!$F$4:$F$87,'Forecasted Lights'!$A$4:$A$87,$B13),"N/A")</f>
        <v>3</v>
      </c>
      <c r="AH13" s="176">
        <f t="shared" ref="AH13:AH17" si="14">IFERROR(AG13*AC13,"N/A")</f>
        <v>28.885816657633654</v>
      </c>
      <c r="AI13" s="176">
        <f t="shared" ref="AI13:AI17" si="15">IFERROR(AG13*AD13,"N/A")</f>
        <v>48.989999999999995</v>
      </c>
      <c r="AJ13" s="176">
        <f t="shared" ref="AJ13:AJ17" si="16">AH13*12</f>
        <v>346.62979989160385</v>
      </c>
      <c r="AK13" s="177">
        <f t="shared" ref="AK13:AK17" si="17">IFERROR(AI13*12,0)</f>
        <v>587.87999999999988</v>
      </c>
    </row>
    <row r="14" spans="1:37" x14ac:dyDescent="0.25">
      <c r="A14" s="238" t="s">
        <v>195</v>
      </c>
      <c r="B14" s="239">
        <v>491</v>
      </c>
      <c r="C14" s="239" t="s">
        <v>197</v>
      </c>
      <c r="D14" s="240" t="str">
        <f>IF($C14="OH",HLOOKUP($B14,'Overhead Lights'!$C$5:$K$57,'Overhead Lights'!$A$10,FALSE),HLOOKUP($B14,'Underground Lights'!$C$4:$Q$80,'Underground Lights'!$A$9,FALSE))</f>
        <v>LED</v>
      </c>
      <c r="E14" s="178" t="str">
        <f>IF($C14="OH",HLOOKUP($B14,'Overhead Lights'!$C$5:$K$57,'Overhead Lights'!$A$7,FALSE),HLOOKUP($B14,'Underground Lights'!$C$4:$Q$80,'Underground Lights'!$A$6,FALSE))</f>
        <v>Cobra</v>
      </c>
      <c r="F14" s="178" t="str">
        <f>IF($C14="OH",HLOOKUP($B14,'Overhead Lights'!$C$5:$K$57,'Overhead Lights'!$A$8,FALSE),HLOOKUP($B14,'Underground Lights'!$C$4:$Q$80,'Underground Lights'!$A$7,FALSE))</f>
        <v>Fixture Only</v>
      </c>
      <c r="G14" s="178" t="str">
        <f>IF($C14="OH",HLOOKUP($B14,'Overhead Lights'!$C$5:$K$57,'Overhead Lights'!$A$11,FALSE),HLOOKUP($B14,'Underground Lights'!$C$4:$Q$80,'Underground Lights'!$A$10,FALSE))</f>
        <v>250w</v>
      </c>
      <c r="H14" s="178">
        <f>IF($C14="OH",HLOOKUP($B14,'Overhead Lights'!$C$5:$K$57,'Overhead Lights'!$A$12,FALSE),HLOOKUP($B14,'Underground Lights'!$C$4:$Q$80,'Underground Lights'!$A$11,FALSE))</f>
        <v>122</v>
      </c>
      <c r="I14" s="179" t="str">
        <f>IF($C14="OH",HLOOKUP($B14,'Overhead Lights'!$C$5:$K$57,'Overhead Lights'!$A$9,FALSE),HLOOKUP($B14,'Underground Lights'!$C$4:$Q$80,'Underground Lights'!$A$8,FALSE))</f>
        <v>13000-16500</v>
      </c>
      <c r="J14" s="225">
        <f>IFERROR(IF(C14="UG",VLOOKUP($AL14,'Maintenance &amp; NBV'!$B$43:$K$47,9,FALSE),0),0)</f>
        <v>0</v>
      </c>
      <c r="K14" s="180">
        <f>IF($C14="UG",HLOOKUP($B14,'Underground Lights'!$C$4:$S$80,67,FALSE),HLOOKUP($B14,'Overhead Lights'!$C$5:$K$57,47,FALSE))</f>
        <v>661.7133331077506</v>
      </c>
      <c r="L14" s="213">
        <f t="shared" si="0"/>
        <v>661.7133331077506</v>
      </c>
      <c r="M14" s="292" t="s">
        <v>492</v>
      </c>
      <c r="N14" s="292" t="s">
        <v>503</v>
      </c>
      <c r="O14" s="163">
        <f t="shared" si="1"/>
        <v>0</v>
      </c>
      <c r="P14" s="163">
        <f t="shared" si="2"/>
        <v>100.35644774217296</v>
      </c>
      <c r="Q14" s="213">
        <f t="shared" si="3"/>
        <v>100.35644774217296</v>
      </c>
      <c r="R14" s="182">
        <f>IF($C14="OH",HLOOKUP($B14,'Overhead Lights'!$C$5:$K$57,52,FALSE),HLOOKUP($B14,'Underground Lights'!$C$4:$Q$84,79,FALSE))</f>
        <v>5.0519597889028978</v>
      </c>
      <c r="S14" s="286">
        <f t="shared" si="4"/>
        <v>5.0519597889028978</v>
      </c>
      <c r="T14" s="181">
        <f t="shared" si="5"/>
        <v>17.714399999999998</v>
      </c>
      <c r="U14" s="181">
        <f t="shared" si="6"/>
        <v>0.98738666666666663</v>
      </c>
      <c r="V14" s="181">
        <f t="shared" si="7"/>
        <v>0.40178666666666668</v>
      </c>
      <c r="W14" s="181">
        <f t="shared" si="8"/>
        <v>0</v>
      </c>
      <c r="X14" s="182">
        <f t="shared" si="9"/>
        <v>11.649407294256321</v>
      </c>
      <c r="Y14" s="182"/>
      <c r="Z14" s="182">
        <f t="shared" si="10"/>
        <v>0</v>
      </c>
      <c r="AA14" s="182"/>
      <c r="AB14" s="182"/>
      <c r="AC14" s="203">
        <f t="shared" si="11"/>
        <v>11.649407294256321</v>
      </c>
      <c r="AD14" s="184">
        <f>IF($C14="OH",HLOOKUP($B14,'Overhead Lights'!$C$5:$K$57,'Overhead Lights'!$A$13,FALSE),HLOOKUP($B14,'Underground Lights'!$C$4:$Q$80,'Underground Lights'!$A$12,FALSE))</f>
        <v>19.34</v>
      </c>
      <c r="AE14" s="185">
        <f t="shared" si="12"/>
        <v>-7.6905927057436791</v>
      </c>
      <c r="AF14" s="186">
        <f t="shared" si="13"/>
        <v>-0.3976521564500351</v>
      </c>
      <c r="AG14" s="187">
        <f>IFERROR(SUMIFS('Forecasted Lights'!$F$4:$F$87,'Forecasted Lights'!$A$4:$A$87,$B14),"N/A")</f>
        <v>5</v>
      </c>
      <c r="AH14" s="188">
        <f t="shared" si="14"/>
        <v>58.247036471281604</v>
      </c>
      <c r="AI14" s="188">
        <f t="shared" si="15"/>
        <v>96.7</v>
      </c>
      <c r="AJ14" s="188">
        <f t="shared" si="16"/>
        <v>698.96443765537924</v>
      </c>
      <c r="AK14" s="189">
        <f t="shared" si="17"/>
        <v>1160.4000000000001</v>
      </c>
    </row>
    <row r="15" spans="1:37" x14ac:dyDescent="0.25">
      <c r="A15" s="238" t="s">
        <v>195</v>
      </c>
      <c r="B15" s="239">
        <v>492</v>
      </c>
      <c r="C15" s="239" t="s">
        <v>197</v>
      </c>
      <c r="D15" s="240" t="str">
        <f>IF($C15="OH",HLOOKUP($B15,'Overhead Lights'!$C$5:$K$57,'Overhead Lights'!$A$10,FALSE),HLOOKUP($B15,'Underground Lights'!$C$4:$Q$80,'Underground Lights'!$A$9,FALSE))</f>
        <v>LED</v>
      </c>
      <c r="E15" s="178" t="str">
        <f>IF($C15="OH",HLOOKUP($B15,'Overhead Lights'!$C$5:$K$57,'Overhead Lights'!$A$7,FALSE),HLOOKUP($B15,'Underground Lights'!$C$4:$Q$80,'Underground Lights'!$A$6,FALSE))</f>
        <v>Cobra</v>
      </c>
      <c r="F15" s="178" t="str">
        <f>IF($C15="OH",HLOOKUP($B15,'Overhead Lights'!$C$5:$K$57,'Overhead Lights'!$A$8,FALSE),HLOOKUP($B15,'Underground Lights'!$C$4:$Q$80,'Underground Lights'!$A$7,FALSE))</f>
        <v>Fixture Only</v>
      </c>
      <c r="G15" s="178" t="str">
        <f>IF($C15="OH",HLOOKUP($B15,'Overhead Lights'!$C$5:$K$57,'Overhead Lights'!$A$11,FALSE),HLOOKUP($B15,'Underground Lights'!$C$4:$Q$80,'Underground Lights'!$A$10,FALSE))</f>
        <v>400w</v>
      </c>
      <c r="H15" s="178">
        <f>IF($C15="OH",HLOOKUP($B15,'Overhead Lights'!$C$5:$K$57,'Overhead Lights'!$A$12,FALSE),HLOOKUP($B15,'Underground Lights'!$C$4:$Q$80,'Underground Lights'!$A$11,FALSE))</f>
        <v>144</v>
      </c>
      <c r="I15" s="179" t="str">
        <f>IF($C15="OH",HLOOKUP($B15,'Overhead Lights'!$C$5:$K$57,'Overhead Lights'!$A$9,FALSE),HLOOKUP($B15,'Underground Lights'!$C$4:$Q$80,'Underground Lights'!$A$8,FALSE))</f>
        <v>22000-29000</v>
      </c>
      <c r="J15" s="225">
        <f>IFERROR(IF(C15="UG",VLOOKUP($AL15,'Maintenance &amp; NBV'!$B$43:$K$47,9,FALSE),0),0)</f>
        <v>0</v>
      </c>
      <c r="K15" s="180">
        <f>IF($C15="UG",HLOOKUP($B15,'Underground Lights'!$C$4:$S$80,67,FALSE),HLOOKUP($B15,'Overhead Lights'!$C$5:$K$57,47,FALSE))</f>
        <v>778.9243831077506</v>
      </c>
      <c r="L15" s="213">
        <f t="shared" si="0"/>
        <v>778.9243831077506</v>
      </c>
      <c r="M15" s="292" t="s">
        <v>492</v>
      </c>
      <c r="N15" s="292" t="s">
        <v>503</v>
      </c>
      <c r="O15" s="163">
        <f t="shared" si="1"/>
        <v>0</v>
      </c>
      <c r="P15" s="163">
        <f t="shared" si="2"/>
        <v>118.13285336314722</v>
      </c>
      <c r="Q15" s="213">
        <f t="shared" si="3"/>
        <v>118.13285336314722</v>
      </c>
      <c r="R15" s="182">
        <f>IF($C15="OH",HLOOKUP($B15,'Overhead Lights'!$C$5:$K$57,52,FALSE),HLOOKUP($B15,'Underground Lights'!$C$4:$Q$84,79,FALSE))</f>
        <v>5.0519597889028978</v>
      </c>
      <c r="S15" s="286">
        <f t="shared" si="4"/>
        <v>5.0519597889028978</v>
      </c>
      <c r="T15" s="181">
        <f t="shared" si="5"/>
        <v>20.908799999999999</v>
      </c>
      <c r="U15" s="181">
        <f t="shared" si="6"/>
        <v>1.16544</v>
      </c>
      <c r="V15" s="181">
        <f t="shared" si="7"/>
        <v>0.47423999999999999</v>
      </c>
      <c r="W15" s="181">
        <f t="shared" si="8"/>
        <v>0</v>
      </c>
      <c r="X15" s="182">
        <f t="shared" si="9"/>
        <v>13.647481096004178</v>
      </c>
      <c r="Y15" s="182"/>
      <c r="Z15" s="182">
        <f t="shared" si="10"/>
        <v>0</v>
      </c>
      <c r="AA15" s="182"/>
      <c r="AB15" s="182"/>
      <c r="AC15" s="203">
        <f t="shared" si="11"/>
        <v>13.647481096004178</v>
      </c>
      <c r="AD15" s="184">
        <f>IF($C15="OH",HLOOKUP($B15,'Overhead Lights'!$C$5:$K$57,'Overhead Lights'!$A$13,FALSE),HLOOKUP($B15,'Underground Lights'!$C$4:$Q$80,'Underground Lights'!$A$12,FALSE))</f>
        <v>27.49</v>
      </c>
      <c r="AE15" s="185">
        <f t="shared" si="12"/>
        <v>-13.842518903995821</v>
      </c>
      <c r="AF15" s="186">
        <f t="shared" si="13"/>
        <v>-0.50354743193873486</v>
      </c>
      <c r="AG15" s="187">
        <f>IFERROR(SUMIFS('Forecasted Lights'!$F$4:$F$87,'Forecasted Lights'!$A$4:$A$87,$B15),"N/A")</f>
        <v>0</v>
      </c>
      <c r="AH15" s="188">
        <f t="shared" si="14"/>
        <v>0</v>
      </c>
      <c r="AI15" s="188">
        <f t="shared" si="15"/>
        <v>0</v>
      </c>
      <c r="AJ15" s="188">
        <f t="shared" si="16"/>
        <v>0</v>
      </c>
      <c r="AK15" s="189">
        <f t="shared" si="17"/>
        <v>0</v>
      </c>
    </row>
    <row r="16" spans="1:37" x14ac:dyDescent="0.25">
      <c r="A16" s="238" t="s">
        <v>195</v>
      </c>
      <c r="B16" s="239">
        <v>493</v>
      </c>
      <c r="C16" s="239" t="s">
        <v>197</v>
      </c>
      <c r="D16" s="240" t="str">
        <f>IF($C16="OH",HLOOKUP($B16,'Overhead Lights'!$C$5:$K$57,'Overhead Lights'!$A$10,FALSE),HLOOKUP($B16,'Underground Lights'!$C$4:$Q$80,'Underground Lights'!$A$9,FALSE))</f>
        <v>LED</v>
      </c>
      <c r="E16" s="178" t="str">
        <f>IF($C16="OH",HLOOKUP($B16,'Overhead Lights'!$C$5:$K$57,'Overhead Lights'!$A$7,FALSE),HLOOKUP($B16,'Underground Lights'!$C$4:$Q$80,'Underground Lights'!$A$6,FALSE))</f>
        <v>Open Bottom</v>
      </c>
      <c r="F16" s="178" t="str">
        <f>IF($C16="OH",HLOOKUP($B16,'Overhead Lights'!$C$5:$K$57,'Overhead Lights'!$A$8,FALSE),HLOOKUP($B16,'Underground Lights'!$C$4:$Q$80,'Underground Lights'!$A$7,FALSE))</f>
        <v>Fixture Only</v>
      </c>
      <c r="G16" s="178" t="str">
        <f>IF($C16="OH",HLOOKUP($B16,'Overhead Lights'!$C$5:$K$57,'Overhead Lights'!$A$11,FALSE),HLOOKUP($B16,'Underground Lights'!$C$4:$Q$80,'Underground Lights'!$A$10,FALSE))</f>
        <v>100w</v>
      </c>
      <c r="H16" s="178">
        <f>IF($C16="OH",HLOOKUP($B16,'Overhead Lights'!$C$5:$K$57,'Overhead Lights'!$A$12,FALSE),HLOOKUP($B16,'Underground Lights'!$C$4:$Q$80,'Underground Lights'!$A$11,FALSE))</f>
        <v>48</v>
      </c>
      <c r="I16" s="179" t="str">
        <f>IF($C16="OH",HLOOKUP($B16,'Overhead Lights'!$C$5:$K$57,'Overhead Lights'!$A$9,FALSE),HLOOKUP($B16,'Underground Lights'!$C$4:$Q$80,'Underground Lights'!$A$8,FALSE))</f>
        <v>4500-6000</v>
      </c>
      <c r="J16" s="225">
        <f>IFERROR(IF(C16="UG",VLOOKUP($AL16,'Maintenance &amp; NBV'!$B$43:$K$47,9,FALSE),0),0)</f>
        <v>0</v>
      </c>
      <c r="K16" s="180">
        <f>IF($C16="UG",HLOOKUP($B16,'Underground Lights'!$C$4:$S$80,67,FALSE),HLOOKUP($B16,'Overhead Lights'!$C$5:$K$57,47,FALSE))</f>
        <v>483.79554900000005</v>
      </c>
      <c r="L16" s="213">
        <f t="shared" si="0"/>
        <v>483.79554900000005</v>
      </c>
      <c r="M16" s="292" t="s">
        <v>492</v>
      </c>
      <c r="N16" s="292" t="s">
        <v>502</v>
      </c>
      <c r="O16" s="163">
        <f t="shared" si="1"/>
        <v>0</v>
      </c>
      <c r="P16" s="163">
        <f t="shared" si="2"/>
        <v>86.274381390455048</v>
      </c>
      <c r="Q16" s="213">
        <f t="shared" si="3"/>
        <v>86.274381390455048</v>
      </c>
      <c r="R16" s="182">
        <f>IF($C16="OH",HLOOKUP($B16,'Overhead Lights'!$C$5:$K$57,52,FALSE),HLOOKUP($B16,'Underground Lights'!$C$4:$Q$84,79,FALSE))</f>
        <v>5.0519597889028978</v>
      </c>
      <c r="S16" s="286">
        <f t="shared" si="4"/>
        <v>5.0519597889028978</v>
      </c>
      <c r="T16" s="181">
        <f t="shared" si="5"/>
        <v>6.9695999999999998</v>
      </c>
      <c r="U16" s="181">
        <f t="shared" si="6"/>
        <v>0.38847999999999999</v>
      </c>
      <c r="V16" s="181">
        <f t="shared" si="7"/>
        <v>0.15808</v>
      </c>
      <c r="W16" s="181">
        <f t="shared" si="8"/>
        <v>0</v>
      </c>
      <c r="X16" s="182">
        <f t="shared" si="9"/>
        <v>8.7378884316131611</v>
      </c>
      <c r="Y16" s="182"/>
      <c r="Z16" s="182">
        <f t="shared" si="10"/>
        <v>0</v>
      </c>
      <c r="AA16" s="182"/>
      <c r="AB16" s="182"/>
      <c r="AC16" s="203">
        <f t="shared" si="11"/>
        <v>8.7378884316131611</v>
      </c>
      <c r="AD16" s="184">
        <f>IF($C16="OH",HLOOKUP($B16,'Overhead Lights'!$C$5:$K$57,'Overhead Lights'!$A$13,FALSE),HLOOKUP($B16,'Underground Lights'!$C$4:$Q$80,'Underground Lights'!$A$12,FALSE))</f>
        <v>11.53</v>
      </c>
      <c r="AE16" s="185">
        <f t="shared" si="12"/>
        <v>-2.7921115683868383</v>
      </c>
      <c r="AF16" s="186">
        <f t="shared" si="13"/>
        <v>-0.24216058702401028</v>
      </c>
      <c r="AG16" s="187">
        <f>IFERROR(SUMIFS('Forecasted Lights'!$F$4:$F$87,'Forecasted Lights'!$A$4:$A$87,$B16),"N/A")</f>
        <v>11</v>
      </c>
      <c r="AH16" s="188">
        <f t="shared" si="14"/>
        <v>96.116772747744776</v>
      </c>
      <c r="AI16" s="188">
        <f t="shared" si="15"/>
        <v>126.83</v>
      </c>
      <c r="AJ16" s="188">
        <f t="shared" si="16"/>
        <v>1153.4012729729372</v>
      </c>
      <c r="AK16" s="189">
        <f t="shared" si="17"/>
        <v>1521.96</v>
      </c>
    </row>
    <row r="17" spans="1:38" x14ac:dyDescent="0.25">
      <c r="A17" s="238" t="s">
        <v>195</v>
      </c>
      <c r="B17" s="239" t="s">
        <v>535</v>
      </c>
      <c r="C17" s="239" t="s">
        <v>197</v>
      </c>
      <c r="D17" s="240" t="str">
        <f>IF($C17="OH",HLOOKUP($B17,'Overhead Lights'!$C$5:$K$57,'Overhead Lights'!$A$10,FALSE),HLOOKUP($B17,'Underground Lights'!$C$4:$Q$80,'Underground Lights'!$A$9,FALSE))</f>
        <v>LED</v>
      </c>
      <c r="E17" s="178" t="str">
        <f>IF($C17="OH",HLOOKUP($B17,'Overhead Lights'!$C$5:$K$57,'Overhead Lights'!$A$7,FALSE),HLOOKUP($B17,'Underground Lights'!$C$4:$Q$80,'Underground Lights'!$A$6,FALSE))</f>
        <v>Cobra</v>
      </c>
      <c r="F17" s="178" t="str">
        <f>IF($C17="OH",HLOOKUP($B17,'Overhead Lights'!$C$5:$K$57,'Overhead Lights'!$A$8,FALSE),HLOOKUP($B17,'Underground Lights'!$C$4:$Q$80,'Underground Lights'!$A$7,FALSE))</f>
        <v>Fixture Only</v>
      </c>
      <c r="G17" s="178" t="str">
        <f>IF($C17="OH",HLOOKUP($B17,'Overhead Lights'!$C$5:$K$57,'Overhead Lights'!$A$11,FALSE),HLOOKUP($B17,'Underground Lights'!$C$4:$Q$80,'Underground Lights'!$A$10,FALSE))</f>
        <v>70w</v>
      </c>
      <c r="H17" s="178">
        <f>IF($C17="OH",HLOOKUP($B17,'Overhead Lights'!$C$5:$K$57,'Overhead Lights'!$A$12,FALSE),HLOOKUP($B17,'Underground Lights'!$C$4:$Q$80,'Underground Lights'!$A$11,FALSE))</f>
        <v>22</v>
      </c>
      <c r="I17" s="179" t="str">
        <f>IF($C17="OH",HLOOKUP($B17,'Overhead Lights'!$C$5:$K$57,'Overhead Lights'!$A$9,FALSE),HLOOKUP($B17,'Underground Lights'!$C$4:$Q$80,'Underground Lights'!$A$8,FALSE))</f>
        <v>2500-4000</v>
      </c>
      <c r="J17" s="225">
        <f>IFERROR(IF(C17="UG",VLOOKUP($AL17,'Maintenance &amp; NBV'!$B$43:$K$47,9,FALSE),0),0)</f>
        <v>0</v>
      </c>
      <c r="K17" s="180">
        <f>IF($C17="UG",HLOOKUP($B17,'Underground Lights'!$C$4:$S$80,67,FALSE),HLOOKUP($B17,'Overhead Lights'!$C$5:$K$57,47,FALSE))</f>
        <v>590.08435810775052</v>
      </c>
      <c r="L17" s="213">
        <f t="shared" si="0"/>
        <v>590.08435810775052</v>
      </c>
      <c r="M17" s="292" t="s">
        <v>492</v>
      </c>
      <c r="N17" s="292" t="s">
        <v>503</v>
      </c>
      <c r="O17" s="163">
        <f t="shared" si="1"/>
        <v>0</v>
      </c>
      <c r="P17" s="163">
        <f t="shared" si="2"/>
        <v>89.493088751577574</v>
      </c>
      <c r="Q17" s="213">
        <f t="shared" si="3"/>
        <v>89.493088751577574</v>
      </c>
      <c r="R17" s="182">
        <f>IF($C17="OH",HLOOKUP($B17,'Overhead Lights'!$C$5:$K$57,52,FALSE),HLOOKUP($B17,'Underground Lights'!$C$4:$Q$84,79,FALSE))</f>
        <v>5.0519597889028978</v>
      </c>
      <c r="S17" s="286">
        <f t="shared" si="4"/>
        <v>5.0519597889028978</v>
      </c>
      <c r="T17" s="181">
        <f t="shared" si="5"/>
        <v>3.1943999999999999</v>
      </c>
      <c r="U17" s="181">
        <f t="shared" si="6"/>
        <v>0.17805333333333331</v>
      </c>
      <c r="V17" s="181">
        <f t="shared" si="7"/>
        <v>7.2453333333333328E-2</v>
      </c>
      <c r="W17" s="181">
        <f t="shared" si="8"/>
        <v>0</v>
      </c>
      <c r="X17" s="182">
        <f t="shared" si="9"/>
        <v>8.3954607117067059</v>
      </c>
      <c r="Y17" s="182"/>
      <c r="Z17" s="182">
        <f t="shared" si="10"/>
        <v>0</v>
      </c>
      <c r="AA17" s="182"/>
      <c r="AB17" s="182"/>
      <c r="AC17" s="203">
        <f t="shared" si="11"/>
        <v>8.3954607117067059</v>
      </c>
      <c r="AD17" s="184" t="str">
        <f>IF($C17="OH",HLOOKUP($B17,'Overhead Lights'!$C$5:$K$57,'Overhead Lights'!$A$13,FALSE),HLOOKUP($B17,'Underground Lights'!$C$4:$Q$80,'Underground Lights'!$A$12,FALSE))</f>
        <v>New</v>
      </c>
      <c r="AE17" s="185" t="str">
        <f t="shared" si="12"/>
        <v>-</v>
      </c>
      <c r="AF17" s="186" t="str">
        <f t="shared" si="13"/>
        <v>-</v>
      </c>
      <c r="AG17" s="187">
        <f>IFERROR(SUMIFS('Forecasted Lights'!$F$4:$F$87,'Forecasted Lights'!$A$4:$A$87,$B17),"N/A")</f>
        <v>0</v>
      </c>
      <c r="AH17" s="188">
        <f t="shared" si="14"/>
        <v>0</v>
      </c>
      <c r="AI17" s="188" t="str">
        <f t="shared" si="15"/>
        <v>N/A</v>
      </c>
      <c r="AJ17" s="188">
        <f t="shared" si="16"/>
        <v>0</v>
      </c>
      <c r="AK17" s="189">
        <f t="shared" si="17"/>
        <v>0</v>
      </c>
    </row>
    <row r="18" spans="1:38" x14ac:dyDescent="0.25">
      <c r="A18" s="238" t="s">
        <v>195</v>
      </c>
      <c r="B18" s="239" t="s">
        <v>536</v>
      </c>
      <c r="C18" s="239" t="s">
        <v>197</v>
      </c>
      <c r="D18" s="240" t="str">
        <f>IF($C18="OH",HLOOKUP($B18,'Overhead Lights'!$C$5:$K$57,'Overhead Lights'!$A$10,FALSE),HLOOKUP($B18,'Underground Lights'!$C$4:$Q$80,'Underground Lights'!$A$9,FALSE))</f>
        <v>LED</v>
      </c>
      <c r="E18" s="178" t="str">
        <f>IF($C18="OH",HLOOKUP($B18,'Overhead Lights'!$C$5:$K$57,'Overhead Lights'!$A$7,FALSE),HLOOKUP($B18,'Underground Lights'!$C$4:$Q$80,'Underground Lights'!$A$6,FALSE))</f>
        <v xml:space="preserve">Flood </v>
      </c>
      <c r="F18" s="178" t="str">
        <f>IF($C18="OH",HLOOKUP($B18,'Overhead Lights'!$C$5:$K$57,'Overhead Lights'!$A$8,FALSE),HLOOKUP($B18,'Underground Lights'!$C$4:$Q$80,'Underground Lights'!$A$7,FALSE))</f>
        <v>Fixture Only</v>
      </c>
      <c r="G18" s="178" t="str">
        <f>IF($C18="OH",HLOOKUP($B18,'Overhead Lights'!$C$5:$K$57,'Overhead Lights'!$A$11,FALSE),HLOOKUP($B18,'Underground Lights'!$C$4:$Q$80,'Underground Lights'!$A$10,FALSE))</f>
        <v>70w-100w</v>
      </c>
      <c r="H18" s="178">
        <f>IF($C18="OH",HLOOKUP($B18,'Overhead Lights'!$C$5:$K$57,'Overhead Lights'!$A$12,FALSE),HLOOKUP($B18,'Underground Lights'!$C$4:$Q$80,'Underground Lights'!$A$11,FALSE))</f>
        <v>30</v>
      </c>
      <c r="I18" s="179" t="str">
        <f>IF($C18="OH",HLOOKUP($B18,'Overhead Lights'!$C$5:$K$57,'Overhead Lights'!$A$9,FALSE),HLOOKUP($B18,'Underground Lights'!$C$4:$Q$80,'Underground Lights'!$A$8,FALSE))</f>
        <v>4500-6000</v>
      </c>
      <c r="J18" s="225">
        <f>IFERROR(IF(C18="UG",VLOOKUP($AL18,'Maintenance &amp; NBV'!$B$43:$K$47,9,FALSE),0),0)</f>
        <v>0</v>
      </c>
      <c r="K18" s="180">
        <f>IF($C18="UG",HLOOKUP($B18,'Underground Lights'!$C$4:$S$80,67,FALSE),HLOOKUP($B18,'Overhead Lights'!$C$5:$K$57,47,FALSE))</f>
        <v>798.24082950000025</v>
      </c>
      <c r="L18" s="213">
        <f t="shared" si="0"/>
        <v>798.24082950000025</v>
      </c>
      <c r="M18" s="292" t="s">
        <v>492</v>
      </c>
      <c r="N18" s="292" t="s">
        <v>503</v>
      </c>
      <c r="O18" s="163">
        <f t="shared" si="1"/>
        <v>0</v>
      </c>
      <c r="P18" s="163">
        <f t="shared" si="2"/>
        <v>121.06241492090507</v>
      </c>
      <c r="Q18" s="213">
        <f t="shared" si="3"/>
        <v>121.06241492090507</v>
      </c>
      <c r="R18" s="182">
        <f>IF($C18="OH",HLOOKUP($B18,'Overhead Lights'!$C$5:$K$57,52,FALSE),HLOOKUP($B18,'Underground Lights'!$C$4:$Q$84,79,FALSE))</f>
        <v>5.0519597889028978</v>
      </c>
      <c r="S18" s="286">
        <f t="shared" si="4"/>
        <v>5.0519597889028978</v>
      </c>
      <c r="T18" s="181">
        <f t="shared" si="5"/>
        <v>4.3559999999999999</v>
      </c>
      <c r="U18" s="181">
        <f t="shared" si="6"/>
        <v>0.24279999999999999</v>
      </c>
      <c r="V18" s="181">
        <f t="shared" si="7"/>
        <v>9.8799999999999999E-2</v>
      </c>
      <c r="W18" s="181">
        <f t="shared" si="8"/>
        <v>0</v>
      </c>
      <c r="X18" s="182">
        <f t="shared" si="9"/>
        <v>11.214131225817333</v>
      </c>
      <c r="Y18" s="182"/>
      <c r="Z18" s="182">
        <f t="shared" si="10"/>
        <v>0</v>
      </c>
      <c r="AA18" s="182"/>
      <c r="AB18" s="182"/>
      <c r="AC18" s="203">
        <f t="shared" si="11"/>
        <v>11.214131225817333</v>
      </c>
      <c r="AD18" s="184" t="str">
        <f>IF($C18="OH",HLOOKUP($B18,'Overhead Lights'!$C$5:$K$57,'Overhead Lights'!$A$13,FALSE),HLOOKUP($B18,'Underground Lights'!$C$4:$Q$80,'Underground Lights'!$A$12,FALSE))</f>
        <v>New</v>
      </c>
      <c r="AE18" s="185" t="str">
        <f t="shared" ref="AE18:AE32" si="18">IFERROR(AC18-AD18,"-")</f>
        <v>-</v>
      </c>
      <c r="AF18" s="186" t="str">
        <f t="shared" ref="AF18:AF32" si="19">IFERROR(AE18/AD18,"-")</f>
        <v>-</v>
      </c>
      <c r="AG18" s="187">
        <f>IFERROR(SUMIFS('Forecasted Lights'!$F$4:$F$87,'Forecasted Lights'!$A$4:$A$87,$B18),"N/A")</f>
        <v>0</v>
      </c>
      <c r="AH18" s="188">
        <f t="shared" ref="AH18:AH32" si="20">IFERROR(AG18*AC18,"N/A")</f>
        <v>0</v>
      </c>
      <c r="AI18" s="188" t="str">
        <f t="shared" ref="AI18:AI32" si="21">IFERROR(AG18*AD18,"N/A")</f>
        <v>N/A</v>
      </c>
      <c r="AJ18" s="188">
        <f t="shared" ref="AJ18:AJ32" si="22">AH18*12</f>
        <v>0</v>
      </c>
      <c r="AK18" s="189">
        <f t="shared" ref="AK18:AK32" si="23">IFERROR(AI18*12,0)</f>
        <v>0</v>
      </c>
    </row>
    <row r="19" spans="1:38" x14ac:dyDescent="0.25">
      <c r="A19" s="238" t="s">
        <v>195</v>
      </c>
      <c r="B19" s="239" t="s">
        <v>537</v>
      </c>
      <c r="C19" s="239" t="s">
        <v>197</v>
      </c>
      <c r="D19" s="240" t="str">
        <f>IF($C19="OH",HLOOKUP($B19,'Overhead Lights'!$C$5:$K$57,'Overhead Lights'!$A$10,FALSE),HLOOKUP($B19,'Underground Lights'!$C$4:$Q$80,'Underground Lights'!$A$9,FALSE))</f>
        <v>LED</v>
      </c>
      <c r="E19" s="178" t="str">
        <f>IF($C19="OH",HLOOKUP($B19,'Overhead Lights'!$C$5:$K$57,'Overhead Lights'!$A$7,FALSE),HLOOKUP($B19,'Underground Lights'!$C$4:$Q$80,'Underground Lights'!$A$6,FALSE))</f>
        <v xml:space="preserve">Flood </v>
      </c>
      <c r="F19" s="178" t="str">
        <f>IF($C19="OH",HLOOKUP($B19,'Overhead Lights'!$C$5:$K$57,'Overhead Lights'!$A$8,FALSE),HLOOKUP($B19,'Underground Lights'!$C$4:$Q$80,'Underground Lights'!$A$7,FALSE))</f>
        <v>Fixture Only</v>
      </c>
      <c r="G19" s="178" t="str">
        <f>IF($C19="OH",HLOOKUP($B19,'Overhead Lights'!$C$5:$K$57,'Overhead Lights'!$A$11,FALSE),HLOOKUP($B19,'Underground Lights'!$C$4:$Q$80,'Underground Lights'!$A$10,FALSE))</f>
        <v>150w-200w</v>
      </c>
      <c r="H19" s="178">
        <f>IF($C19="OH",HLOOKUP($B19,'Overhead Lights'!$C$5:$K$57,'Overhead Lights'!$A$12,FALSE),HLOOKUP($B19,'Underground Lights'!$C$4:$Q$80,'Underground Lights'!$A$11,FALSE))</f>
        <v>96</v>
      </c>
      <c r="I19" s="179" t="str">
        <f>IF($C19="OH",HLOOKUP($B19,'Overhead Lights'!$C$5:$K$57,'Overhead Lights'!$A$9,FALSE),HLOOKUP($B19,'Underground Lights'!$C$4:$Q$80,'Underground Lights'!$A$8,FALSE))</f>
        <v>14000-17500</v>
      </c>
      <c r="J19" s="225">
        <f>IFERROR(IF(C19="UG",VLOOKUP($AL19,'Maintenance &amp; NBV'!$B$43:$K$47,9,FALSE),0),0)</f>
        <v>0</v>
      </c>
      <c r="K19" s="180">
        <f>IF($C19="UG",HLOOKUP($B19,'Underground Lights'!$C$4:$S$80,67,FALSE),HLOOKUP($B19,'Overhead Lights'!$C$5:$K$57,47,FALSE))</f>
        <v>817.77600450000023</v>
      </c>
      <c r="L19" s="213">
        <f t="shared" si="0"/>
        <v>817.77600450000023</v>
      </c>
      <c r="M19" s="292" t="s">
        <v>492</v>
      </c>
      <c r="N19" s="292" t="s">
        <v>503</v>
      </c>
      <c r="O19" s="163">
        <f t="shared" si="1"/>
        <v>0</v>
      </c>
      <c r="P19" s="163">
        <f t="shared" si="2"/>
        <v>124.02514919106744</v>
      </c>
      <c r="Q19" s="213">
        <f t="shared" si="3"/>
        <v>124.02514919106744</v>
      </c>
      <c r="R19" s="182">
        <f>IF($C19="OH",HLOOKUP($B19,'Overhead Lights'!$C$5:$K$57,52,FALSE),HLOOKUP($B19,'Underground Lights'!$C$4:$Q$84,79,FALSE))</f>
        <v>5.0519597889028978</v>
      </c>
      <c r="S19" s="286">
        <f t="shared" si="4"/>
        <v>5.0519597889028978</v>
      </c>
      <c r="T19" s="181">
        <f t="shared" si="5"/>
        <v>13.9392</v>
      </c>
      <c r="U19" s="181">
        <f t="shared" si="6"/>
        <v>0.77695999999999998</v>
      </c>
      <c r="V19" s="181">
        <f t="shared" si="7"/>
        <v>0.31616</v>
      </c>
      <c r="W19" s="181">
        <f t="shared" si="8"/>
        <v>0</v>
      </c>
      <c r="X19" s="182">
        <f t="shared" si="9"/>
        <v>13.011145748330863</v>
      </c>
      <c r="Y19" s="182"/>
      <c r="Z19" s="182">
        <f t="shared" si="10"/>
        <v>0</v>
      </c>
      <c r="AA19" s="182"/>
      <c r="AB19" s="182"/>
      <c r="AC19" s="203">
        <f t="shared" si="11"/>
        <v>13.011145748330863</v>
      </c>
      <c r="AD19" s="184" t="str">
        <f>IF($C19="OH",HLOOKUP($B19,'Overhead Lights'!$C$5:$K$57,'Overhead Lights'!$A$13,FALSE),HLOOKUP($B19,'Underground Lights'!$C$4:$Q$80,'Underground Lights'!$A$12,FALSE))</f>
        <v>New</v>
      </c>
      <c r="AE19" s="185" t="str">
        <f t="shared" si="18"/>
        <v>-</v>
      </c>
      <c r="AF19" s="186" t="str">
        <f t="shared" si="19"/>
        <v>-</v>
      </c>
      <c r="AG19" s="187">
        <f>IFERROR(SUMIFS('Forecasted Lights'!$F$4:$F$87,'Forecasted Lights'!$A$4:$A$87,$B19),"N/A")</f>
        <v>0</v>
      </c>
      <c r="AH19" s="188">
        <f t="shared" si="20"/>
        <v>0</v>
      </c>
      <c r="AI19" s="188" t="str">
        <f t="shared" si="21"/>
        <v>N/A</v>
      </c>
      <c r="AJ19" s="188">
        <f t="shared" si="22"/>
        <v>0</v>
      </c>
      <c r="AK19" s="189">
        <f t="shared" si="23"/>
        <v>0</v>
      </c>
    </row>
    <row r="20" spans="1:38" x14ac:dyDescent="0.25">
      <c r="A20" s="238" t="s">
        <v>195</v>
      </c>
      <c r="B20" s="239" t="s">
        <v>538</v>
      </c>
      <c r="C20" s="239" t="s">
        <v>197</v>
      </c>
      <c r="D20" s="240" t="str">
        <f>IF($C20="OH",HLOOKUP($B20,'Overhead Lights'!$C$5:$K$57,'Overhead Lights'!$A$10,FALSE),HLOOKUP($B20,'Underground Lights'!$C$4:$Q$80,'Underground Lights'!$A$9,FALSE))</f>
        <v>LED</v>
      </c>
      <c r="E20" s="178" t="str">
        <f>IF($C20="OH",HLOOKUP($B20,'Overhead Lights'!$C$5:$K$57,'Overhead Lights'!$A$7,FALSE),HLOOKUP($B20,'Underground Lights'!$C$4:$Q$80,'Underground Lights'!$A$6,FALSE))</f>
        <v xml:space="preserve">Flood </v>
      </c>
      <c r="F20" s="178" t="str">
        <f>IF($C20="OH",HLOOKUP($B20,'Overhead Lights'!$C$5:$K$57,'Overhead Lights'!$A$8,FALSE),HLOOKUP($B20,'Underground Lights'!$C$4:$Q$80,'Underground Lights'!$A$7,FALSE))</f>
        <v>Fixture Only</v>
      </c>
      <c r="G20" s="178" t="str">
        <f>IF($C20="OH",HLOOKUP($B20,'Overhead Lights'!$C$5:$K$57,'Overhead Lights'!$A$11,FALSE),HLOOKUP($B20,'Underground Lights'!$C$4:$Q$80,'Underground Lights'!$A$10,FALSE))</f>
        <v>400w</v>
      </c>
      <c r="H20" s="178">
        <f>IF($C20="OH",HLOOKUP($B20,'Overhead Lights'!$C$5:$K$57,'Overhead Lights'!$A$12,FALSE),HLOOKUP($B20,'Underground Lights'!$C$4:$Q$80,'Underground Lights'!$A$11,FALSE))</f>
        <v>175</v>
      </c>
      <c r="I20" s="179" t="str">
        <f>IF($C20="OH",HLOOKUP($B20,'Overhead Lights'!$C$5:$K$57,'Overhead Lights'!$A$9,FALSE),HLOOKUP($B20,'Underground Lights'!$C$4:$Q$80,'Underground Lights'!$A$8,FALSE))</f>
        <v>22000-28000</v>
      </c>
      <c r="J20" s="225">
        <f>IFERROR(IF(C20="UG",VLOOKUP($AL20,'Maintenance &amp; NBV'!$B$43:$K$47,9,FALSE),0),0)</f>
        <v>0</v>
      </c>
      <c r="K20" s="180">
        <f>IF($C20="UG",HLOOKUP($B20,'Underground Lights'!$C$4:$S$80,67,FALSE),HLOOKUP($B20,'Overhead Lights'!$C$5:$K$57,47,FALSE))</f>
        <v>856.84635450000019</v>
      </c>
      <c r="L20" s="213">
        <f t="shared" si="0"/>
        <v>856.84635450000019</v>
      </c>
      <c r="M20" s="292" t="s">
        <v>492</v>
      </c>
      <c r="N20" s="292" t="s">
        <v>503</v>
      </c>
      <c r="O20" s="163">
        <f t="shared" si="1"/>
        <v>0</v>
      </c>
      <c r="P20" s="163">
        <f t="shared" si="2"/>
        <v>129.95061773139219</v>
      </c>
      <c r="Q20" s="213">
        <f t="shared" si="3"/>
        <v>129.95061773139219</v>
      </c>
      <c r="R20" s="182">
        <f>IF($C20="OH",HLOOKUP($B20,'Overhead Lights'!$C$5:$K$57,52,FALSE),HLOOKUP($B20,'Underground Lights'!$C$4:$Q$84,79,FALSE))</f>
        <v>5.0519597889028978</v>
      </c>
      <c r="S20" s="286">
        <f t="shared" si="4"/>
        <v>5.0519597889028978</v>
      </c>
      <c r="T20" s="181">
        <f t="shared" si="5"/>
        <v>25.41</v>
      </c>
      <c r="U20" s="181">
        <f t="shared" si="6"/>
        <v>1.4163333333333332</v>
      </c>
      <c r="V20" s="181">
        <f t="shared" si="7"/>
        <v>0.57633333333333336</v>
      </c>
      <c r="W20" s="181">
        <f t="shared" si="8"/>
        <v>0</v>
      </c>
      <c r="X20" s="182">
        <f t="shared" si="9"/>
        <v>15.360381460024591</v>
      </c>
      <c r="Y20" s="182"/>
      <c r="Z20" s="182">
        <f t="shared" si="10"/>
        <v>0</v>
      </c>
      <c r="AA20" s="182"/>
      <c r="AB20" s="182"/>
      <c r="AC20" s="203">
        <f t="shared" si="11"/>
        <v>15.360381460024591</v>
      </c>
      <c r="AD20" s="184" t="str">
        <f>IF($C20="OH",HLOOKUP($B20,'Overhead Lights'!$C$5:$K$57,'Overhead Lights'!$A$13,FALSE),HLOOKUP($B20,'Underground Lights'!$C$4:$Q$80,'Underground Lights'!$A$12,FALSE))</f>
        <v>New</v>
      </c>
      <c r="AE20" s="185" t="str">
        <f t="shared" si="18"/>
        <v>-</v>
      </c>
      <c r="AF20" s="186" t="str">
        <f t="shared" si="19"/>
        <v>-</v>
      </c>
      <c r="AG20" s="187">
        <f>IFERROR(SUMIFS('Forecasted Lights'!$F$4:$F$87,'Forecasted Lights'!$A$4:$A$87,$B20),"N/A")</f>
        <v>0</v>
      </c>
      <c r="AH20" s="188">
        <f t="shared" si="20"/>
        <v>0</v>
      </c>
      <c r="AI20" s="188" t="str">
        <f t="shared" si="21"/>
        <v>N/A</v>
      </c>
      <c r="AJ20" s="188">
        <f t="shared" si="22"/>
        <v>0</v>
      </c>
      <c r="AK20" s="189">
        <f t="shared" si="23"/>
        <v>0</v>
      </c>
    </row>
    <row r="21" spans="1:38" ht="15.75" thickBot="1" x14ac:dyDescent="0.3">
      <c r="A21" s="241" t="s">
        <v>195</v>
      </c>
      <c r="B21" s="242" t="s">
        <v>539</v>
      </c>
      <c r="C21" s="242" t="s">
        <v>197</v>
      </c>
      <c r="D21" s="243" t="str">
        <f>IF($C21="OH",HLOOKUP($B21,'Overhead Lights'!$C$5:$K$57,'Overhead Lights'!$A$10,FALSE),HLOOKUP($B21,'Underground Lights'!$C$4:$Q$80,'Underground Lights'!$A$9,FALSE))</f>
        <v>LED</v>
      </c>
      <c r="E21" s="190" t="str">
        <f>IF($C21="OH",HLOOKUP($B21,'Overhead Lights'!$C$5:$K$57,'Overhead Lights'!$A$7,FALSE),HLOOKUP($B21,'Underground Lights'!$C$4:$Q$80,'Underground Lights'!$A$6,FALSE))</f>
        <v xml:space="preserve">Flood </v>
      </c>
      <c r="F21" s="190" t="str">
        <f>IF($C21="OH",HLOOKUP($B21,'Overhead Lights'!$C$5:$K$57,'Overhead Lights'!$A$8,FALSE),HLOOKUP($B21,'Underground Lights'!$C$4:$Q$80,'Underground Lights'!$A$7,FALSE))</f>
        <v>Fixture Only</v>
      </c>
      <c r="G21" s="190" t="str">
        <f>IF($C21="OH",HLOOKUP($B21,'Overhead Lights'!$C$5:$K$57,'Overhead Lights'!$A$11,FALSE),HLOOKUP($B21,'Underground Lights'!$C$4:$Q$80,'Underground Lights'!$A$10,FALSE))</f>
        <v>1000w</v>
      </c>
      <c r="H21" s="190">
        <f>IF($C21="OH",HLOOKUP($B21,'Overhead Lights'!$C$5:$K$57,'Overhead Lights'!$A$12,FALSE),HLOOKUP($B21,'Underground Lights'!$C$4:$Q$80,'Underground Lights'!$A$11,FALSE))</f>
        <v>297</v>
      </c>
      <c r="I21" s="191" t="str">
        <f>IF($C21="OH",HLOOKUP($B21,'Overhead Lights'!$C$5:$K$57,'Overhead Lights'!$A$9,FALSE),HLOOKUP($B21,'Underground Lights'!$C$4:$Q$80,'Underground Lights'!$A$8,FALSE))</f>
        <v>35000-50000</v>
      </c>
      <c r="J21" s="226">
        <f>IFERROR(IF(C21="UG",VLOOKUP($AL21,'Maintenance &amp; NBV'!$B$43:$K$47,9,FALSE),0),0)</f>
        <v>0</v>
      </c>
      <c r="K21" s="192">
        <f>IF($C21="UG",HLOOKUP($B21,'Underground Lights'!$C$4:$S$80,67,FALSE),HLOOKUP($B21,'Overhead Lights'!$C$5:$K$57,47,FALSE))</f>
        <v>1149.8739794999999</v>
      </c>
      <c r="L21" s="214">
        <f t="shared" si="0"/>
        <v>1149.8739794999999</v>
      </c>
      <c r="M21" s="312" t="s">
        <v>492</v>
      </c>
      <c r="N21" s="292" t="s">
        <v>503</v>
      </c>
      <c r="O21" s="163">
        <f t="shared" si="1"/>
        <v>0</v>
      </c>
      <c r="P21" s="163">
        <f t="shared" si="2"/>
        <v>174.39163178382776</v>
      </c>
      <c r="Q21" s="213">
        <f t="shared" si="3"/>
        <v>174.39163178382776</v>
      </c>
      <c r="R21" s="194">
        <f>IF($C21="OH",HLOOKUP($B21,'Overhead Lights'!$C$5:$K$57,52,FALSE),HLOOKUP($B21,'Underground Lights'!$C$4:$Q$84,79,FALSE))</f>
        <v>5.0519597889028978</v>
      </c>
      <c r="S21" s="287">
        <f t="shared" si="4"/>
        <v>5.0519597889028978</v>
      </c>
      <c r="T21" s="193">
        <f t="shared" si="5"/>
        <v>43.124400000000001</v>
      </c>
      <c r="U21" s="193">
        <f t="shared" si="6"/>
        <v>2.4037199999999999</v>
      </c>
      <c r="V21" s="193">
        <f t="shared" si="7"/>
        <v>0.97811999999999999</v>
      </c>
      <c r="W21" s="193">
        <f t="shared" si="8"/>
        <v>0</v>
      </c>
      <c r="X21" s="194">
        <f t="shared" si="9"/>
        <v>21.92917263106089</v>
      </c>
      <c r="Y21" s="194"/>
      <c r="Z21" s="194">
        <f t="shared" si="10"/>
        <v>0</v>
      </c>
      <c r="AA21" s="194"/>
      <c r="AB21" s="194"/>
      <c r="AC21" s="204">
        <f t="shared" si="11"/>
        <v>21.92917263106089</v>
      </c>
      <c r="AD21" s="196" t="str">
        <f>IF($C21="OH",HLOOKUP($B21,'Overhead Lights'!$C$5:$K$57,'Overhead Lights'!$A$13,FALSE),HLOOKUP($B21,'Underground Lights'!$C$4:$Q$80,'Underground Lights'!$A$12,FALSE))</f>
        <v>New</v>
      </c>
      <c r="AE21" s="197" t="str">
        <f t="shared" si="18"/>
        <v>-</v>
      </c>
      <c r="AF21" s="198" t="str">
        <f t="shared" si="19"/>
        <v>-</v>
      </c>
      <c r="AG21" s="199">
        <f>IFERROR(SUMIFS('Forecasted Lights'!$F$4:$F$87,'Forecasted Lights'!$A$4:$A$87,$B21),"N/A")</f>
        <v>0</v>
      </c>
      <c r="AH21" s="200">
        <f t="shared" si="20"/>
        <v>0</v>
      </c>
      <c r="AI21" s="200" t="str">
        <f t="shared" si="21"/>
        <v>N/A</v>
      </c>
      <c r="AJ21" s="200">
        <f t="shared" si="22"/>
        <v>0</v>
      </c>
      <c r="AK21" s="201">
        <f t="shared" si="23"/>
        <v>0</v>
      </c>
    </row>
    <row r="22" spans="1:38" x14ac:dyDescent="0.25">
      <c r="A22" s="238" t="s">
        <v>195</v>
      </c>
      <c r="B22" s="239">
        <v>496</v>
      </c>
      <c r="C22" s="239" t="s">
        <v>198</v>
      </c>
      <c r="D22" s="240" t="str">
        <f>IF($C22="OH",HLOOKUP($B22,'Overhead Lights'!$C$5:$K$57,'Overhead Lights'!$A$10,FALSE),HLOOKUP($B22,'Underground Lights'!$C$4:$Q$80,'Underground Lights'!$A$9,FALSE))</f>
        <v>LED</v>
      </c>
      <c r="E22" s="178" t="str">
        <f>IF($C22="OH",HLOOKUP($B22,'Overhead Lights'!$C$5:$K$57,'Overhead Lights'!$A$7,FALSE),HLOOKUP($B22,'Underground Lights'!$C$4:$Q$80,'Underground Lights'!$A$6,FALSE))</f>
        <v>Cobra</v>
      </c>
      <c r="F22" s="178" t="str">
        <f>IF($C22="OH",HLOOKUP($B22,'Overhead Lights'!$C$5:$K$57,'Overhead Lights'!$A$8,FALSE),HLOOKUP($B22,'Underground Lights'!$C$4:$Q$80,'Underground Lights'!$A$7,FALSE))</f>
        <v>Decorative Smooth</v>
      </c>
      <c r="G22" s="178" t="str">
        <f>IF($C22="OH",HLOOKUP($B22,'Overhead Lights'!$C$5:$K$57,'Overhead Lights'!$A$11,FALSE),HLOOKUP($B22,'Underground Lights'!$C$4:$Q$80,'Underground Lights'!$A$10,FALSE))</f>
        <v>150w</v>
      </c>
      <c r="H22" s="178">
        <f>IF($C22="OH",HLOOKUP($B22,'Overhead Lights'!$C$5:$K$57,'Overhead Lights'!$A$12,FALSE),HLOOKUP($B22,'Underground Lights'!$C$4:$Q$80,'Underground Lights'!$A$11,FALSE))</f>
        <v>71</v>
      </c>
      <c r="I22" s="179" t="str">
        <f>IF($C22="OH",HLOOKUP($B22,'Overhead Lights'!$C$5:$K$57,'Overhead Lights'!$A$9,FALSE),HLOOKUP($B22,'Underground Lights'!$C$4:$Q$80,'Underground Lights'!$A$8,FALSE))</f>
        <v>5500-8200</v>
      </c>
      <c r="J22" s="227">
        <f>IFERROR(IF(C22="UG",VLOOKUP($AL22,'Maintenance &amp; NBV'!$B$43:$K$47,9,FALSE),0),0)</f>
        <v>2149.6578198722855</v>
      </c>
      <c r="K22" s="169">
        <f>IF($C22="UG",HLOOKUP($B22,'Underground Lights'!$C$4:$S$80,67,FALSE),HLOOKUP($B22,'Overhead Lights'!$C$5:$K$57,47,FALSE))</f>
        <v>277.20386100000002</v>
      </c>
      <c r="L22" s="212">
        <f t="shared" si="0"/>
        <v>2426.8616808722854</v>
      </c>
      <c r="M22" s="315" t="s">
        <v>492</v>
      </c>
      <c r="N22" s="316" t="s">
        <v>503</v>
      </c>
      <c r="O22" s="317">
        <f t="shared" si="1"/>
        <v>366.8527190597195</v>
      </c>
      <c r="P22" s="317">
        <f t="shared" si="2"/>
        <v>42.041158003756166</v>
      </c>
      <c r="Q22" s="212">
        <f t="shared" si="3"/>
        <v>408.89387706347566</v>
      </c>
      <c r="R22" s="182">
        <f>IF($C22="OH",HLOOKUP($B22,'Overhead Lights'!$C$5:$K$57,52,FALSE),HLOOKUP($B22,'Underground Lights'!$C$4:$Q$84,79,FALSE))</f>
        <v>5.0519597889028978</v>
      </c>
      <c r="S22" s="286">
        <f t="shared" si="4"/>
        <v>5.0519597889028978</v>
      </c>
      <c r="T22" s="181">
        <f t="shared" si="5"/>
        <v>10.309200000000001</v>
      </c>
      <c r="U22" s="181">
        <f t="shared" si="6"/>
        <v>0.57462666666666662</v>
      </c>
      <c r="V22" s="181">
        <f t="shared" si="7"/>
        <v>0.23382666666666665</v>
      </c>
      <c r="W22" s="181">
        <f t="shared" si="8"/>
        <v>0</v>
      </c>
      <c r="X22" s="182">
        <f t="shared" si="9"/>
        <v>36.163039737698206</v>
      </c>
      <c r="Y22" s="209">
        <f>(SUM(P22,T22)/12)+U22+V22+W22</f>
        <v>5.1709831669796804</v>
      </c>
      <c r="Z22" s="182">
        <f t="shared" si="10"/>
        <v>0</v>
      </c>
      <c r="AA22" s="209">
        <f t="shared" ref="AA22:AA36" si="24">Y22*$T$5</f>
        <v>0</v>
      </c>
      <c r="AB22" s="206">
        <f>Y22+AA22</f>
        <v>5.1709831669796804</v>
      </c>
      <c r="AC22" s="183">
        <f>SUM(X22,Z22)</f>
        <v>36.163039737698206</v>
      </c>
      <c r="AD22" s="184">
        <f>IF($C22="OH",HLOOKUP($B22,'Overhead Lights'!$C$5:$K$57,'Overhead Lights'!$A$13,FALSE),HLOOKUP($B22,'Underground Lights'!$C$4:$Q$80,'Underground Lights'!$A$12,FALSE))</f>
        <v>54.63</v>
      </c>
      <c r="AE22" s="185">
        <f t="shared" si="18"/>
        <v>-18.466960262301797</v>
      </c>
      <c r="AF22" s="186">
        <f t="shared" si="19"/>
        <v>-0.33803698082192563</v>
      </c>
      <c r="AG22" s="187">
        <f>IFERROR(SUMIFS('Forecasted Lights'!$F$4:$F$87,'Forecasted Lights'!$A$4:$A$87,$B22),"N/A")</f>
        <v>0</v>
      </c>
      <c r="AH22" s="188">
        <f t="shared" si="20"/>
        <v>0</v>
      </c>
      <c r="AI22" s="188">
        <f t="shared" si="21"/>
        <v>0</v>
      </c>
      <c r="AJ22" s="188">
        <f t="shared" si="22"/>
        <v>0</v>
      </c>
      <c r="AK22" s="189">
        <f t="shared" si="23"/>
        <v>0</v>
      </c>
      <c r="AL22" t="s">
        <v>497</v>
      </c>
    </row>
    <row r="23" spans="1:38" x14ac:dyDescent="0.25">
      <c r="A23" s="238" t="s">
        <v>195</v>
      </c>
      <c r="B23" s="239">
        <v>497</v>
      </c>
      <c r="C23" s="239" t="s">
        <v>198</v>
      </c>
      <c r="D23" s="240" t="str">
        <f>IF($C23="OH",HLOOKUP($B23,'Overhead Lights'!$C$5:$K$57,'Overhead Lights'!$A$10,FALSE),HLOOKUP($B23,'Underground Lights'!$C$4:$Q$80,'Underground Lights'!$A$9,FALSE))</f>
        <v>LED</v>
      </c>
      <c r="E23" s="178" t="str">
        <f>IF($C23="OH",HLOOKUP($B23,'Overhead Lights'!$C$5:$K$57,'Overhead Lights'!$A$7,FALSE),HLOOKUP($B23,'Underground Lights'!$C$4:$Q$80,'Underground Lights'!$A$6,FALSE))</f>
        <v>Cobra</v>
      </c>
      <c r="F23" s="178" t="str">
        <f>IF($C23="OH",HLOOKUP($B23,'Overhead Lights'!$C$5:$K$57,'Overhead Lights'!$A$8,FALSE),HLOOKUP($B23,'Underground Lights'!$C$4:$Q$80,'Underground Lights'!$A$7,FALSE))</f>
        <v>Decorative Smooth</v>
      </c>
      <c r="G23" s="178" t="str">
        <f>IF($C23="OH",HLOOKUP($B23,'Overhead Lights'!$C$5:$K$57,'Overhead Lights'!$A$11,FALSE),HLOOKUP($B23,'Underground Lights'!$C$4:$Q$80,'Underground Lights'!$A$10,FALSE))</f>
        <v>250w</v>
      </c>
      <c r="H23" s="178">
        <f>IF($C23="OH",HLOOKUP($B23,'Overhead Lights'!$C$5:$K$57,'Overhead Lights'!$A$12,FALSE),HLOOKUP($B23,'Underground Lights'!$C$4:$Q$80,'Underground Lights'!$A$11,FALSE))</f>
        <v>122</v>
      </c>
      <c r="I23" s="179" t="str">
        <f>IF($C23="OH",HLOOKUP($B23,'Overhead Lights'!$C$5:$K$57,'Overhead Lights'!$A$9,FALSE),HLOOKUP($B23,'Underground Lights'!$C$4:$Q$80,'Underground Lights'!$A$8,FALSE))</f>
        <v>13000-16500</v>
      </c>
      <c r="J23" s="228">
        <f>IFERROR(IF(C23="UG",VLOOKUP($AL23,'Maintenance &amp; NBV'!$B$43:$K$47,9,FALSE),0),0)</f>
        <v>2149.6578198722855</v>
      </c>
      <c r="K23" s="180">
        <f>IF($C23="UG",HLOOKUP($B23,'Underground Lights'!$C$4:$S$80,67,FALSE),HLOOKUP($B23,'Overhead Lights'!$C$5:$K$57,47,FALSE))</f>
        <v>342.32111100000003</v>
      </c>
      <c r="L23" s="213">
        <f t="shared" si="0"/>
        <v>2491.9789308722857</v>
      </c>
      <c r="M23" s="312" t="s">
        <v>492</v>
      </c>
      <c r="N23" s="292" t="s">
        <v>503</v>
      </c>
      <c r="O23" s="163">
        <f t="shared" si="1"/>
        <v>366.8527190597195</v>
      </c>
      <c r="P23" s="163">
        <f t="shared" si="2"/>
        <v>51.916938904297417</v>
      </c>
      <c r="Q23" s="213">
        <f t="shared" si="3"/>
        <v>418.76965796401691</v>
      </c>
      <c r="R23" s="182">
        <f>IF($C23="OH",HLOOKUP($B23,'Overhead Lights'!$C$5:$K$57,52,FALSE),HLOOKUP($B23,'Underground Lights'!$C$4:$Q$84,79,FALSE))</f>
        <v>5.0519597889028978</v>
      </c>
      <c r="S23" s="286">
        <f t="shared" si="4"/>
        <v>5.0519597889028978</v>
      </c>
      <c r="T23" s="181">
        <f t="shared" si="5"/>
        <v>17.714399999999998</v>
      </c>
      <c r="U23" s="181">
        <f t="shared" si="6"/>
        <v>0.98738666666666663</v>
      </c>
      <c r="V23" s="181">
        <f t="shared" si="7"/>
        <v>0.40178666666666668</v>
      </c>
      <c r="W23" s="181">
        <f t="shared" si="8"/>
        <v>0</v>
      </c>
      <c r="X23" s="182">
        <f t="shared" si="9"/>
        <v>38.183841479409985</v>
      </c>
      <c r="Y23" s="209">
        <f t="shared" ref="Y23:Y36" si="25">(SUM(P23,T23)/12)+U23+V23+W23</f>
        <v>7.1917849086914512</v>
      </c>
      <c r="Z23" s="182">
        <f t="shared" si="10"/>
        <v>0</v>
      </c>
      <c r="AA23" s="209">
        <f t="shared" si="24"/>
        <v>0</v>
      </c>
      <c r="AB23" s="206">
        <f t="shared" ref="AB23:AB36" si="26">Y23+AA23</f>
        <v>7.1917849086914512</v>
      </c>
      <c r="AC23" s="183">
        <f t="shared" si="11"/>
        <v>38.183841479409985</v>
      </c>
      <c r="AD23" s="184">
        <f>IF($C23="OH",HLOOKUP($B23,'Overhead Lights'!$C$5:$K$57,'Overhead Lights'!$A$13,FALSE),HLOOKUP($B23,'Underground Lights'!$C$4:$Q$80,'Underground Lights'!$A$12,FALSE))</f>
        <v>57.64</v>
      </c>
      <c r="AE23" s="185">
        <f t="shared" si="18"/>
        <v>-19.456158520590016</v>
      </c>
      <c r="AF23" s="186">
        <f t="shared" si="19"/>
        <v>-0.33754612284160335</v>
      </c>
      <c r="AG23" s="187">
        <f>IFERROR(SUMIFS('Forecasted Lights'!$F$4:$F$87,'Forecasted Lights'!$A$4:$A$87,$B23),"N/A")</f>
        <v>0</v>
      </c>
      <c r="AH23" s="188">
        <f t="shared" si="20"/>
        <v>0</v>
      </c>
      <c r="AI23" s="188">
        <f t="shared" si="21"/>
        <v>0</v>
      </c>
      <c r="AJ23" s="188">
        <f t="shared" si="22"/>
        <v>0</v>
      </c>
      <c r="AK23" s="189">
        <f t="shared" si="23"/>
        <v>0</v>
      </c>
      <c r="AL23" t="s">
        <v>497</v>
      </c>
    </row>
    <row r="24" spans="1:38" x14ac:dyDescent="0.25">
      <c r="A24" s="238" t="s">
        <v>195</v>
      </c>
      <c r="B24" s="239">
        <v>498</v>
      </c>
      <c r="C24" s="239" t="s">
        <v>198</v>
      </c>
      <c r="D24" s="240" t="str">
        <f>IF($C24="OH",HLOOKUP($B24,'Overhead Lights'!$C$5:$K$57,'Overhead Lights'!$A$10,FALSE),HLOOKUP($B24,'Underground Lights'!$C$4:$Q$80,'Underground Lights'!$A$9,FALSE))</f>
        <v>LED</v>
      </c>
      <c r="E24" s="178" t="str">
        <f>IF($C24="OH",HLOOKUP($B24,'Overhead Lights'!$C$5:$K$57,'Overhead Lights'!$A$7,FALSE),HLOOKUP($B24,'Underground Lights'!$C$4:$Q$80,'Underground Lights'!$A$6,FALSE))</f>
        <v>Cobra</v>
      </c>
      <c r="F24" s="178" t="str">
        <f>IF($C24="OH",HLOOKUP($B24,'Overhead Lights'!$C$5:$K$57,'Overhead Lights'!$A$8,FALSE),HLOOKUP($B24,'Underground Lights'!$C$4:$Q$80,'Underground Lights'!$A$7,FALSE))</f>
        <v>Decorative Smooth</v>
      </c>
      <c r="G24" s="178" t="str">
        <f>IF($C24="OH",HLOOKUP($B24,'Overhead Lights'!$C$5:$K$57,'Overhead Lights'!$A$11,FALSE),HLOOKUP($B24,'Underground Lights'!$C$4:$Q$80,'Underground Lights'!$A$10,FALSE))</f>
        <v>400w</v>
      </c>
      <c r="H24" s="178">
        <f>IF($C24="OH",HLOOKUP($B24,'Overhead Lights'!$C$5:$K$57,'Overhead Lights'!$A$12,FALSE),HLOOKUP($B24,'Underground Lights'!$C$4:$Q$80,'Underground Lights'!$A$11,FALSE))</f>
        <v>194</v>
      </c>
      <c r="I24" s="179" t="str">
        <f>IF($C24="OH",HLOOKUP($B24,'Overhead Lights'!$C$5:$K$57,'Overhead Lights'!$A$9,FALSE),HLOOKUP($B24,'Underground Lights'!$C$4:$Q$80,'Underground Lights'!$A$8,FALSE))</f>
        <v>22000-29000</v>
      </c>
      <c r="J24" s="228">
        <f>IFERROR(IF(C24="UG",VLOOKUP($AL24,'Maintenance &amp; NBV'!$B$43:$K$47,9,FALSE),0),0)</f>
        <v>2149.6578198722855</v>
      </c>
      <c r="K24" s="180">
        <f>IF($C24="UG",HLOOKUP($B24,'Underground Lights'!$C$4:$S$80,67,FALSE),HLOOKUP($B24,'Overhead Lights'!$C$5:$K$57,47,FALSE))</f>
        <v>459.53216100000003</v>
      </c>
      <c r="L24" s="213">
        <f t="shared" si="0"/>
        <v>2609.1899808722856</v>
      </c>
      <c r="M24" s="312" t="s">
        <v>492</v>
      </c>
      <c r="N24" s="292" t="s">
        <v>503</v>
      </c>
      <c r="O24" s="163">
        <f t="shared" si="1"/>
        <v>366.8527190597195</v>
      </c>
      <c r="P24" s="163">
        <f t="shared" si="2"/>
        <v>69.693344525271669</v>
      </c>
      <c r="Q24" s="213">
        <f t="shared" si="3"/>
        <v>436.5460635849912</v>
      </c>
      <c r="R24" s="182">
        <f>IF($C24="OH",HLOOKUP($B24,'Overhead Lights'!$C$5:$K$57,52,FALSE),HLOOKUP($B24,'Underground Lights'!$C$4:$Q$84,79,FALSE))</f>
        <v>5.0519597889028978</v>
      </c>
      <c r="S24" s="286">
        <f t="shared" si="4"/>
        <v>5.0519597889028978</v>
      </c>
      <c r="T24" s="181">
        <f t="shared" si="5"/>
        <v>28.168799999999997</v>
      </c>
      <c r="U24" s="181">
        <f t="shared" si="6"/>
        <v>1.5701066666666668</v>
      </c>
      <c r="V24" s="181">
        <f t="shared" si="7"/>
        <v>0.63890666666666662</v>
      </c>
      <c r="W24" s="181">
        <f t="shared" si="8"/>
        <v>0</v>
      </c>
      <c r="X24" s="182">
        <f t="shared" si="9"/>
        <v>41.356248614491172</v>
      </c>
      <c r="Y24" s="209">
        <f t="shared" si="25"/>
        <v>10.36419204377264</v>
      </c>
      <c r="Z24" s="182">
        <f t="shared" si="10"/>
        <v>0</v>
      </c>
      <c r="AA24" s="209">
        <f t="shared" si="24"/>
        <v>0</v>
      </c>
      <c r="AB24" s="206">
        <f t="shared" si="26"/>
        <v>10.36419204377264</v>
      </c>
      <c r="AC24" s="183">
        <f t="shared" si="11"/>
        <v>41.356248614491172</v>
      </c>
      <c r="AD24" s="184">
        <f>IF($C24="OH",HLOOKUP($B24,'Overhead Lights'!$C$5:$K$57,'Overhead Lights'!$A$13,FALSE),HLOOKUP($B24,'Underground Lights'!$C$4:$Q$80,'Underground Lights'!$A$12,FALSE))</f>
        <v>65.790000000000006</v>
      </c>
      <c r="AE24" s="185">
        <f t="shared" si="18"/>
        <v>-24.433751385508835</v>
      </c>
      <c r="AF24" s="186">
        <f t="shared" si="19"/>
        <v>-0.37139004993933472</v>
      </c>
      <c r="AG24" s="187">
        <f>IFERROR(SUMIFS('Forecasted Lights'!$F$4:$F$87,'Forecasted Lights'!$A$4:$A$87,$B24),"N/A")</f>
        <v>0</v>
      </c>
      <c r="AH24" s="188">
        <f t="shared" si="20"/>
        <v>0</v>
      </c>
      <c r="AI24" s="188">
        <f t="shared" si="21"/>
        <v>0</v>
      </c>
      <c r="AJ24" s="188">
        <f t="shared" si="22"/>
        <v>0</v>
      </c>
      <c r="AK24" s="189">
        <f t="shared" si="23"/>
        <v>0</v>
      </c>
      <c r="AL24" t="s">
        <v>497</v>
      </c>
    </row>
    <row r="25" spans="1:38" x14ac:dyDescent="0.25">
      <c r="A25" s="238" t="s">
        <v>195</v>
      </c>
      <c r="B25" s="239">
        <v>499</v>
      </c>
      <c r="C25" s="239" t="s">
        <v>198</v>
      </c>
      <c r="D25" s="240" t="str">
        <f>IF($C25="OH",HLOOKUP($B25,'Overhead Lights'!$C$5:$K$57,'Overhead Lights'!$A$10,FALSE),HLOOKUP($B25,'Underground Lights'!$C$4:$Q$80,'Underground Lights'!$A$9,FALSE))</f>
        <v>LED</v>
      </c>
      <c r="E25" s="178" t="str">
        <f>IF($C25="OH",HLOOKUP($B25,'Overhead Lights'!$C$5:$K$57,'Overhead Lights'!$A$7,FALSE),HLOOKUP($B25,'Underground Lights'!$C$4:$Q$80,'Underground Lights'!$A$6,FALSE))</f>
        <v>Colonial</v>
      </c>
      <c r="F25" s="178" t="str">
        <f>IF($C25="OH",HLOOKUP($B25,'Overhead Lights'!$C$5:$K$57,'Overhead Lights'!$A$8,FALSE),HLOOKUP($B25,'Underground Lights'!$C$4:$Q$80,'Underground Lights'!$A$7,FALSE))</f>
        <v>Decorative Smooth</v>
      </c>
      <c r="G25" s="178" t="str">
        <f>IF($C25="OH",HLOOKUP($B25,'Overhead Lights'!$C$5:$K$57,'Overhead Lights'!$A$11,FALSE),HLOOKUP($B25,'Underground Lights'!$C$4:$Q$80,'Underground Lights'!$A$10,FALSE))</f>
        <v>100w</v>
      </c>
      <c r="H25" s="178">
        <f>IF($C25="OH",HLOOKUP($B25,'Overhead Lights'!$C$5:$K$57,'Overhead Lights'!$A$12,FALSE),HLOOKUP($B25,'Underground Lights'!$C$4:$Q$80,'Underground Lights'!$A$11,FALSE))</f>
        <v>44</v>
      </c>
      <c r="I25" s="179" t="str">
        <f>IF($C25="OH",HLOOKUP($B25,'Overhead Lights'!$C$5:$K$57,'Overhead Lights'!$A$9,FALSE),HLOOKUP($B25,'Underground Lights'!$C$4:$Q$80,'Underground Lights'!$A$8,FALSE))</f>
        <v>4000-7000</v>
      </c>
      <c r="J25" s="229">
        <f>IFERROR(IF(C25="UG",VLOOKUP($AL25,'Maintenance &amp; NBV'!$B$43:$K$47,9,FALSE),0),0)</f>
        <v>1006.4803687195423</v>
      </c>
      <c r="K25" s="180">
        <f>IF($C25="UG",HLOOKUP($B25,'Underground Lights'!$C$4:$S$80,67,FALSE),HLOOKUP($B25,'Overhead Lights'!$C$5:$K$57,47,FALSE))</f>
        <v>492.09078600000004</v>
      </c>
      <c r="L25" s="213">
        <f t="shared" si="0"/>
        <v>1498.5711547195424</v>
      </c>
      <c r="M25" s="312" t="s">
        <v>492</v>
      </c>
      <c r="N25" s="292" t="s">
        <v>503</v>
      </c>
      <c r="O25" s="163">
        <f t="shared" si="1"/>
        <v>171.76224817349288</v>
      </c>
      <c r="P25" s="163">
        <f t="shared" si="2"/>
        <v>74.631234975542299</v>
      </c>
      <c r="Q25" s="213">
        <f t="shared" si="3"/>
        <v>246.39348314903518</v>
      </c>
      <c r="R25" s="182">
        <f>IF($C25="OH",HLOOKUP($B25,'Overhead Lights'!$C$5:$K$57,52,FALSE),HLOOKUP($B25,'Underground Lights'!$C$4:$Q$84,79,FALSE))</f>
        <v>5.0519597889028978</v>
      </c>
      <c r="S25" s="286">
        <f t="shared" si="4"/>
        <v>5.0519597889028978</v>
      </c>
      <c r="T25" s="181">
        <f t="shared" si="5"/>
        <v>6.3887999999999998</v>
      </c>
      <c r="U25" s="181">
        <f t="shared" si="6"/>
        <v>0.35610666666666663</v>
      </c>
      <c r="V25" s="181">
        <f t="shared" si="7"/>
        <v>0.14490666666666666</v>
      </c>
      <c r="W25" s="181">
        <f t="shared" si="8"/>
        <v>0</v>
      </c>
      <c r="X25" s="182">
        <f t="shared" si="9"/>
        <v>21.987200244828173</v>
      </c>
      <c r="Y25" s="209">
        <f t="shared" si="25"/>
        <v>7.252682914628525</v>
      </c>
      <c r="Z25" s="182">
        <f t="shared" si="10"/>
        <v>0</v>
      </c>
      <c r="AA25" s="209">
        <f t="shared" si="24"/>
        <v>0</v>
      </c>
      <c r="AB25" s="206">
        <f t="shared" si="26"/>
        <v>7.252682914628525</v>
      </c>
      <c r="AC25" s="183">
        <f t="shared" si="11"/>
        <v>21.987200244828173</v>
      </c>
      <c r="AD25" s="184">
        <f>IF($C25="OH",HLOOKUP($B25,'Overhead Lights'!$C$5:$K$57,'Overhead Lights'!$A$13,FALSE),HLOOKUP($B25,'Underground Lights'!$C$4:$Q$80,'Underground Lights'!$A$12,FALSE))</f>
        <v>48.35</v>
      </c>
      <c r="AE25" s="185">
        <f t="shared" si="18"/>
        <v>-26.362799755171828</v>
      </c>
      <c r="AF25" s="186">
        <f t="shared" si="19"/>
        <v>-0.54524921934171311</v>
      </c>
      <c r="AG25" s="187">
        <f>IFERROR(SUMIFS('Forecasted Lights'!$F$4:$F$87,'Forecasted Lights'!$A$4:$A$87,$B25),"N/A")</f>
        <v>0</v>
      </c>
      <c r="AH25" s="188">
        <f t="shared" si="20"/>
        <v>0</v>
      </c>
      <c r="AI25" s="188">
        <f t="shared" si="21"/>
        <v>0</v>
      </c>
      <c r="AJ25" s="188">
        <f t="shared" si="22"/>
        <v>0</v>
      </c>
      <c r="AK25" s="189">
        <f t="shared" si="23"/>
        <v>0</v>
      </c>
      <c r="AL25" t="s">
        <v>506</v>
      </c>
    </row>
    <row r="26" spans="1:38" x14ac:dyDescent="0.25">
      <c r="A26" s="238" t="s">
        <v>195</v>
      </c>
      <c r="B26" s="239" t="s">
        <v>540</v>
      </c>
      <c r="C26" s="239" t="s">
        <v>198</v>
      </c>
      <c r="D26" s="240" t="str">
        <f>IF($C26="OH",HLOOKUP($B26,'Overhead Lights'!$C$5:$K$57,'Overhead Lights'!$A$10,FALSE),HLOOKUP($B26,'Underground Lights'!$C$4:$Q$80,'Underground Lights'!$A$9,FALSE))</f>
        <v>LED</v>
      </c>
      <c r="E26" s="178" t="str">
        <f>IF($C26="OH",HLOOKUP($B26,'Overhead Lights'!$C$5:$K$57,'Overhead Lights'!$A$7,FALSE),HLOOKUP($B26,'Underground Lights'!$C$4:$Q$80,'Underground Lights'!$A$6,FALSE))</f>
        <v>Acorn</v>
      </c>
      <c r="F26" s="178" t="str">
        <f>IF($C26="OH",HLOOKUP($B26,'Overhead Lights'!$C$5:$K$57,'Overhead Lights'!$A$8,FALSE),HLOOKUP($B26,'Underground Lights'!$C$4:$Q$80,'Underground Lights'!$A$7,FALSE))</f>
        <v>Decorative Smooth</v>
      </c>
      <c r="G26" s="178" t="str">
        <f>IF($C26="OH",HLOOKUP($B26,'Overhead Lights'!$C$5:$K$57,'Overhead Lights'!$A$11,FALSE),HLOOKUP($B26,'Underground Lights'!$C$4:$Q$80,'Underground Lights'!$A$10,FALSE))</f>
        <v>100w</v>
      </c>
      <c r="H26" s="178">
        <f>IF($C26="OH",HLOOKUP($B26,'Overhead Lights'!$C$5:$K$57,'Overhead Lights'!$A$12,FALSE),HLOOKUP($B26,'Underground Lights'!$C$4:$Q$80,'Underground Lights'!$A$11,FALSE))</f>
        <v>40</v>
      </c>
      <c r="I26" s="179" t="str">
        <f>IF($C26="OH",HLOOKUP($B26,'Overhead Lights'!$C$5:$K$57,'Overhead Lights'!$A$9,FALSE),HLOOKUP($B26,'Underground Lights'!$C$4:$Q$80,'Underground Lights'!$A$8,FALSE))</f>
        <v>4000-7000</v>
      </c>
      <c r="J26" s="229">
        <f>IFERROR(IF(C26="UG",VLOOKUP($AL26,'Maintenance &amp; NBV'!$B$43:$K$47,9,FALSE),0),0)</f>
        <v>1006.4803687195423</v>
      </c>
      <c r="K26" s="180">
        <f>IF($C26="UG",HLOOKUP($B26,'Underground Lights'!$C$4:$S$80,67,FALSE),HLOOKUP($B26,'Overhead Lights'!$C$5:$K$57,47,FALSE))</f>
        <v>459.53216100000003</v>
      </c>
      <c r="L26" s="213">
        <f t="shared" si="0"/>
        <v>1466.0125297195423</v>
      </c>
      <c r="M26" s="312" t="s">
        <v>492</v>
      </c>
      <c r="N26" s="292" t="s">
        <v>503</v>
      </c>
      <c r="O26" s="163">
        <f t="shared" si="1"/>
        <v>171.76224817349288</v>
      </c>
      <c r="P26" s="163">
        <f t="shared" si="2"/>
        <v>69.693344525271669</v>
      </c>
      <c r="Q26" s="213">
        <f t="shared" si="3"/>
        <v>241.45559269876455</v>
      </c>
      <c r="R26" s="182">
        <f>IF($C26="OH",HLOOKUP($B26,'Overhead Lights'!$C$5:$K$57,52,FALSE),HLOOKUP($B26,'Underground Lights'!$C$4:$Q$84,79,FALSE))</f>
        <v>5.0519597889028978</v>
      </c>
      <c r="S26" s="286">
        <f t="shared" si="4"/>
        <v>5.0519597889028978</v>
      </c>
      <c r="T26" s="181">
        <f t="shared" si="5"/>
        <v>5.8079999999999998</v>
      </c>
      <c r="U26" s="181">
        <f t="shared" si="6"/>
        <v>0.32373333333333332</v>
      </c>
      <c r="V26" s="181">
        <f t="shared" si="7"/>
        <v>0.13173333333333334</v>
      </c>
      <c r="W26" s="181">
        <f t="shared" si="8"/>
        <v>0</v>
      </c>
      <c r="X26" s="182">
        <f t="shared" si="9"/>
        <v>21.48176270730562</v>
      </c>
      <c r="Y26" s="209">
        <f t="shared" si="25"/>
        <v>6.7472453771059717</v>
      </c>
      <c r="Z26" s="182">
        <f t="shared" si="10"/>
        <v>0</v>
      </c>
      <c r="AA26" s="209">
        <f t="shared" si="24"/>
        <v>0</v>
      </c>
      <c r="AB26" s="206">
        <f t="shared" si="26"/>
        <v>6.7472453771059717</v>
      </c>
      <c r="AC26" s="183">
        <f>SUM(X26,Z26)</f>
        <v>21.48176270730562</v>
      </c>
      <c r="AD26" s="184" t="str">
        <f>IF($C26="OH",HLOOKUP($B26,'Overhead Lights'!$C$5:$K$57,'Overhead Lights'!$A$13,FALSE),HLOOKUP($B26,'Underground Lights'!$C$4:$Q$80,'Underground Lights'!$A$12,FALSE))</f>
        <v>New</v>
      </c>
      <c r="AE26" s="185" t="str">
        <f t="shared" si="18"/>
        <v>-</v>
      </c>
      <c r="AF26" s="186" t="str">
        <f t="shared" si="19"/>
        <v>-</v>
      </c>
      <c r="AG26" s="187">
        <f>IFERROR(SUMIFS('Forecasted Lights'!$F$4:$F$87,'Forecasted Lights'!$A$4:$A$87,$B26),"N/A")</f>
        <v>0</v>
      </c>
      <c r="AH26" s="188">
        <f t="shared" si="20"/>
        <v>0</v>
      </c>
      <c r="AI26" s="188" t="str">
        <f t="shared" si="21"/>
        <v>N/A</v>
      </c>
      <c r="AJ26" s="188">
        <f t="shared" si="22"/>
        <v>0</v>
      </c>
      <c r="AK26" s="189">
        <f t="shared" si="23"/>
        <v>0</v>
      </c>
      <c r="AL26" t="s">
        <v>506</v>
      </c>
    </row>
    <row r="27" spans="1:38" x14ac:dyDescent="0.25">
      <c r="A27" s="238" t="s">
        <v>195</v>
      </c>
      <c r="B27" s="239" t="s">
        <v>541</v>
      </c>
      <c r="C27" s="239" t="s">
        <v>198</v>
      </c>
      <c r="D27" s="240" t="str">
        <f>IF($C27="OH",HLOOKUP($B27,'Overhead Lights'!$C$5:$K$57,'Overhead Lights'!$A$10,FALSE),HLOOKUP($B27,'Underground Lights'!$C$4:$Q$80,'Underground Lights'!$A$9,FALSE))</f>
        <v>LED</v>
      </c>
      <c r="E27" s="178" t="str">
        <f>IF($C27="OH",HLOOKUP($B27,'Overhead Lights'!$C$5:$K$57,'Overhead Lights'!$A$7,FALSE),HLOOKUP($B27,'Underground Lights'!$C$4:$Q$80,'Underground Lights'!$A$6,FALSE))</f>
        <v>Contemporary</v>
      </c>
      <c r="F27" s="178" t="str">
        <f>IF($C27="OH",HLOOKUP($B27,'Overhead Lights'!$C$5:$K$57,'Overhead Lights'!$A$8,FALSE),HLOOKUP($B27,'Underground Lights'!$C$4:$Q$80,'Underground Lights'!$A$7,FALSE))</f>
        <v>Decorative Smooth</v>
      </c>
      <c r="G27" s="178" t="str">
        <f>IF($C27="OH",HLOOKUP($B27,'Overhead Lights'!$C$5:$K$57,'Overhead Lights'!$A$11,FALSE),HLOOKUP($B27,'Underground Lights'!$C$4:$Q$80,'Underground Lights'!$A$10,FALSE))</f>
        <v>70w</v>
      </c>
      <c r="H27" s="178">
        <f>IF($C27="OH",HLOOKUP($B27,'Overhead Lights'!$C$5:$K$57,'Overhead Lights'!$A$12,FALSE),HLOOKUP($B27,'Underground Lights'!$C$4:$Q$80,'Underground Lights'!$A$11,FALSE))</f>
        <v>57</v>
      </c>
      <c r="I27" s="179" t="str">
        <f>IF($C27="OH",HLOOKUP($B27,'Overhead Lights'!$C$5:$K$57,'Overhead Lights'!$A$9,FALSE),HLOOKUP($B27,'Underground Lights'!$C$4:$Q$80,'Underground Lights'!$A$8,FALSE))</f>
        <v>4000-7000</v>
      </c>
      <c r="J27" s="230">
        <f>IFERROR(IF(C27="UG",VLOOKUP($AL27,'Maintenance &amp; NBV'!$B$43:$K$47,9,FALSE),0),0)</f>
        <v>1020.7659234205462</v>
      </c>
      <c r="K27" s="180">
        <f>IF($C27="UG",HLOOKUP($B27,'Underground Lights'!$C$4:$S$80,67,FALSE),HLOOKUP($B27,'Overhead Lights'!$C$5:$K$57,47,FALSE))</f>
        <v>426.97353600000002</v>
      </c>
      <c r="L27" s="213">
        <f t="shared" si="0"/>
        <v>1447.7394594205462</v>
      </c>
      <c r="M27" s="312" t="s">
        <v>492</v>
      </c>
      <c r="N27" s="292" t="s">
        <v>503</v>
      </c>
      <c r="O27" s="163">
        <f t="shared" si="1"/>
        <v>174.20016854244304</v>
      </c>
      <c r="P27" s="163">
        <f t="shared" si="2"/>
        <v>64.75545407500104</v>
      </c>
      <c r="Q27" s="213">
        <f t="shared" si="3"/>
        <v>238.95562261744408</v>
      </c>
      <c r="R27" s="182">
        <f>IF($C27="OH",HLOOKUP($B27,'Overhead Lights'!$C$5:$K$57,52,FALSE),HLOOKUP($B27,'Underground Lights'!$C$4:$Q$84,79,FALSE))</f>
        <v>5.0519597889028978</v>
      </c>
      <c r="S27" s="286">
        <f t="shared" si="4"/>
        <v>5.0519597889028978</v>
      </c>
      <c r="T27" s="181">
        <f t="shared" si="5"/>
        <v>8.2763999999999989</v>
      </c>
      <c r="U27" s="181">
        <f t="shared" si="6"/>
        <v>0.46132000000000001</v>
      </c>
      <c r="V27" s="181">
        <f t="shared" si="7"/>
        <v>0.18772</v>
      </c>
      <c r="W27" s="181">
        <f t="shared" si="8"/>
        <v>0</v>
      </c>
      <c r="X27" s="182">
        <f t="shared" si="9"/>
        <v>21.672705200528913</v>
      </c>
      <c r="Y27" s="209">
        <f t="shared" si="25"/>
        <v>6.7350278395834193</v>
      </c>
      <c r="Z27" s="182">
        <f t="shared" si="10"/>
        <v>0</v>
      </c>
      <c r="AA27" s="209">
        <f t="shared" si="24"/>
        <v>0</v>
      </c>
      <c r="AB27" s="206">
        <f t="shared" si="26"/>
        <v>6.7350278395834193</v>
      </c>
      <c r="AC27" s="183">
        <f t="shared" si="11"/>
        <v>21.672705200528913</v>
      </c>
      <c r="AD27" s="184" t="str">
        <f>IF($C27="OH",HLOOKUP($B27,'Overhead Lights'!$C$5:$K$57,'Overhead Lights'!$A$13,FALSE),HLOOKUP($B27,'Underground Lights'!$C$4:$Q$80,'Underground Lights'!$A$12,FALSE))</f>
        <v>New</v>
      </c>
      <c r="AE27" s="185" t="str">
        <f t="shared" si="18"/>
        <v>-</v>
      </c>
      <c r="AF27" s="186" t="str">
        <f t="shared" si="19"/>
        <v>-</v>
      </c>
      <c r="AG27" s="187">
        <f>IFERROR(SUMIFS('Forecasted Lights'!$F$4:$F$87,'Forecasted Lights'!$A$4:$A$87,$B27),"N/A")</f>
        <v>0</v>
      </c>
      <c r="AH27" s="188">
        <f t="shared" si="20"/>
        <v>0</v>
      </c>
      <c r="AI27" s="188" t="str">
        <f t="shared" si="21"/>
        <v>N/A</v>
      </c>
      <c r="AJ27" s="188">
        <f t="shared" si="22"/>
        <v>0</v>
      </c>
      <c r="AK27" s="189">
        <f t="shared" si="23"/>
        <v>0</v>
      </c>
      <c r="AL27" t="s">
        <v>508</v>
      </c>
    </row>
    <row r="28" spans="1:38" x14ac:dyDescent="0.25">
      <c r="A28" s="238" t="s">
        <v>195</v>
      </c>
      <c r="B28" s="239" t="s">
        <v>542</v>
      </c>
      <c r="C28" s="239" t="s">
        <v>198</v>
      </c>
      <c r="D28" s="240" t="str">
        <f>IF($C28="OH",HLOOKUP($B28,'Overhead Lights'!$C$5:$K$57,'Overhead Lights'!$A$10,FALSE),HLOOKUP($B28,'Underground Lights'!$C$4:$Q$80,'Underground Lights'!$A$9,FALSE))</f>
        <v>LED</v>
      </c>
      <c r="E28" s="178" t="str">
        <f>IF($C28="OH",HLOOKUP($B28,'Overhead Lights'!$C$5:$K$57,'Overhead Lights'!$A$7,FALSE),HLOOKUP($B28,'Underground Lights'!$C$4:$Q$80,'Underground Lights'!$A$6,FALSE))</f>
        <v xml:space="preserve">Contemporary </v>
      </c>
      <c r="F28" s="178" t="str">
        <f>IF($C28="OH",HLOOKUP($B28,'Overhead Lights'!$C$5:$K$57,'Overhead Lights'!$A$8,FALSE),HLOOKUP($B28,'Underground Lights'!$C$4:$Q$80,'Underground Lights'!$A$7,FALSE))</f>
        <v>Decorative Smooth</v>
      </c>
      <c r="G28" s="178" t="str">
        <f>IF($C28="OH",HLOOKUP($B28,'Overhead Lights'!$C$5:$K$57,'Overhead Lights'!$A$11,FALSE),HLOOKUP($B28,'Underground Lights'!$C$4:$Q$80,'Underground Lights'!$A$10,FALSE))</f>
        <v>150w</v>
      </c>
      <c r="H28" s="178">
        <f>IF($C28="OH",HLOOKUP($B28,'Overhead Lights'!$C$5:$K$57,'Overhead Lights'!$A$12,FALSE),HLOOKUP($B28,'Underground Lights'!$C$4:$Q$80,'Underground Lights'!$A$11,FALSE))</f>
        <v>87</v>
      </c>
      <c r="I28" s="179" t="str">
        <f>IF($C28="OH",HLOOKUP($B28,'Overhead Lights'!$C$5:$K$57,'Overhead Lights'!$A$9,FALSE),HLOOKUP($B28,'Underground Lights'!$C$4:$Q$80,'Underground Lights'!$A$8,FALSE))</f>
        <v>8000-11000</v>
      </c>
      <c r="J28" s="230">
        <f>IFERROR(IF(C28="UG",VLOOKUP($AL28,'Maintenance &amp; NBV'!$B$43:$K$47,9,FALSE),0),0)</f>
        <v>1020.7659234205462</v>
      </c>
      <c r="K28" s="180">
        <f>IF($C28="UG",HLOOKUP($B28,'Underground Lights'!$C$4:$S$80,67,FALSE),HLOOKUP($B28,'Overhead Lights'!$C$5:$K$57,47,FALSE))</f>
        <v>459.53216100000003</v>
      </c>
      <c r="L28" s="213">
        <f t="shared" si="0"/>
        <v>1480.2980844205463</v>
      </c>
      <c r="M28" s="312" t="s">
        <v>492</v>
      </c>
      <c r="N28" s="292" t="s">
        <v>503</v>
      </c>
      <c r="O28" s="163">
        <f t="shared" si="1"/>
        <v>174.20016854244304</v>
      </c>
      <c r="P28" s="163">
        <f t="shared" si="2"/>
        <v>69.693344525271669</v>
      </c>
      <c r="Q28" s="213">
        <f t="shared" si="3"/>
        <v>243.89351306771471</v>
      </c>
      <c r="R28" s="182">
        <f>IF($C28="OH",HLOOKUP($B28,'Overhead Lights'!$C$5:$K$57,52,FALSE),HLOOKUP($B28,'Underground Lights'!$C$4:$Q$84,79,FALSE))</f>
        <v>5.0519597889028978</v>
      </c>
      <c r="S28" s="286">
        <f t="shared" si="4"/>
        <v>5.0519597889028978</v>
      </c>
      <c r="T28" s="181">
        <f t="shared" si="5"/>
        <v>12.632400000000001</v>
      </c>
      <c r="U28" s="181">
        <f t="shared" si="6"/>
        <v>0.70411999999999997</v>
      </c>
      <c r="V28" s="181">
        <f t="shared" si="7"/>
        <v>0.28652</v>
      </c>
      <c r="W28" s="181">
        <f t="shared" si="8"/>
        <v>0</v>
      </c>
      <c r="X28" s="182">
        <f t="shared" si="9"/>
        <v>22.788796071384798</v>
      </c>
      <c r="Y28" s="209">
        <f t="shared" si="25"/>
        <v>7.8511187104393061</v>
      </c>
      <c r="Z28" s="182">
        <f t="shared" si="10"/>
        <v>0</v>
      </c>
      <c r="AA28" s="209">
        <f t="shared" si="24"/>
        <v>0</v>
      </c>
      <c r="AB28" s="206">
        <f t="shared" si="26"/>
        <v>7.8511187104393061</v>
      </c>
      <c r="AC28" s="183">
        <f t="shared" si="11"/>
        <v>22.788796071384798</v>
      </c>
      <c r="AD28" s="184" t="str">
        <f>IF($C28="OH",HLOOKUP($B28,'Overhead Lights'!$C$5:$K$57,'Overhead Lights'!$A$13,FALSE),HLOOKUP($B28,'Underground Lights'!$C$4:$Q$80,'Underground Lights'!$A$12,FALSE))</f>
        <v>New</v>
      </c>
      <c r="AE28" s="185" t="str">
        <f t="shared" si="18"/>
        <v>-</v>
      </c>
      <c r="AF28" s="186" t="str">
        <f t="shared" si="19"/>
        <v>-</v>
      </c>
      <c r="AG28" s="187">
        <f>IFERROR(SUMIFS('Forecasted Lights'!$F$4:$F$87,'Forecasted Lights'!$A$4:$A$87,$B28),"N/A")</f>
        <v>0</v>
      </c>
      <c r="AH28" s="188">
        <f t="shared" si="20"/>
        <v>0</v>
      </c>
      <c r="AI28" s="188" t="str">
        <f t="shared" si="21"/>
        <v>N/A</v>
      </c>
      <c r="AJ28" s="188">
        <f t="shared" si="22"/>
        <v>0</v>
      </c>
      <c r="AK28" s="189">
        <f t="shared" si="23"/>
        <v>0</v>
      </c>
      <c r="AL28" t="s">
        <v>508</v>
      </c>
    </row>
    <row r="29" spans="1:38" x14ac:dyDescent="0.25">
      <c r="A29" s="238" t="s">
        <v>195</v>
      </c>
      <c r="B29" s="239" t="s">
        <v>543</v>
      </c>
      <c r="C29" s="239" t="s">
        <v>198</v>
      </c>
      <c r="D29" s="240" t="str">
        <f>IF($C29="OH",HLOOKUP($B29,'Overhead Lights'!$C$5:$K$57,'Overhead Lights'!$A$10,FALSE),HLOOKUP($B29,'Underground Lights'!$C$4:$Q$80,'Underground Lights'!$A$9,FALSE))</f>
        <v>LED</v>
      </c>
      <c r="E29" s="178" t="str">
        <f>IF($C29="OH",HLOOKUP($B29,'Overhead Lights'!$C$5:$K$57,'Overhead Lights'!$A$7,FALSE),HLOOKUP($B29,'Underground Lights'!$C$4:$Q$80,'Underground Lights'!$A$6,FALSE))</f>
        <v>Contemporary</v>
      </c>
      <c r="F29" s="178" t="str">
        <f>IF($C29="OH",HLOOKUP($B29,'Overhead Lights'!$C$5:$K$57,'Overhead Lights'!$A$8,FALSE),HLOOKUP($B29,'Underground Lights'!$C$4:$Q$80,'Underground Lights'!$A$7,FALSE))</f>
        <v>Decorative Smooth</v>
      </c>
      <c r="G29" s="178" t="str">
        <f>IF($C29="OH",HLOOKUP($B29,'Overhead Lights'!$C$5:$K$57,'Overhead Lights'!$A$11,FALSE),HLOOKUP($B29,'Underground Lights'!$C$4:$Q$80,'Underground Lights'!$A$10,FALSE))</f>
        <v>200w-250w</v>
      </c>
      <c r="H29" s="178">
        <f>IF($C29="OH",HLOOKUP($B29,'Overhead Lights'!$C$5:$K$57,'Overhead Lights'!$A$12,FALSE),HLOOKUP($B29,'Underground Lights'!$C$4:$Q$80,'Underground Lights'!$A$11,FALSE))</f>
        <v>143</v>
      </c>
      <c r="I29" s="179" t="str">
        <f>IF($C29="OH",HLOOKUP($B29,'Overhead Lights'!$C$5:$K$57,'Overhead Lights'!$A$9,FALSE),HLOOKUP($B29,'Underground Lights'!$C$4:$Q$80,'Underground Lights'!$A$8,FALSE))</f>
        <v>13500-16500</v>
      </c>
      <c r="J29" s="231">
        <f>IFERROR(IF(C29="UG",VLOOKUP($AL29,'Maintenance &amp; NBV'!$B$43:$K$47,9,FALSE),0),0)</f>
        <v>1512.3982942283665</v>
      </c>
      <c r="K29" s="180">
        <f>IF($C29="UG",HLOOKUP($B29,'Underground Lights'!$C$4:$S$80,67,FALSE),HLOOKUP($B29,'Overhead Lights'!$C$5:$K$57,47,FALSE))</f>
        <v>490.78844100000009</v>
      </c>
      <c r="L29" s="213">
        <f t="shared" si="0"/>
        <v>2003.1867352283666</v>
      </c>
      <c r="M29" s="312" t="s">
        <v>492</v>
      </c>
      <c r="N29" s="292" t="s">
        <v>503</v>
      </c>
      <c r="O29" s="163">
        <f t="shared" si="1"/>
        <v>258.10034574336163</v>
      </c>
      <c r="P29" s="163">
        <f t="shared" si="2"/>
        <v>74.433719357531473</v>
      </c>
      <c r="Q29" s="213">
        <f t="shared" si="3"/>
        <v>332.53406510089309</v>
      </c>
      <c r="R29" s="182">
        <f>IF($C29="OH",HLOOKUP($B29,'Overhead Lights'!$C$5:$K$57,52,FALSE),HLOOKUP($B29,'Underground Lights'!$C$4:$Q$84,79,FALSE))</f>
        <v>5.0519597889028978</v>
      </c>
      <c r="S29" s="286">
        <f t="shared" si="4"/>
        <v>5.0519597889028978</v>
      </c>
      <c r="T29" s="181">
        <f t="shared" si="5"/>
        <v>20.7636</v>
      </c>
      <c r="U29" s="181">
        <f t="shared" si="6"/>
        <v>1.1573466666666665</v>
      </c>
      <c r="V29" s="181">
        <f t="shared" si="7"/>
        <v>0.47094666666666668</v>
      </c>
      <c r="W29" s="181">
        <f t="shared" si="8"/>
        <v>0</v>
      </c>
      <c r="X29" s="182">
        <f t="shared" si="9"/>
        <v>31.490762074149661</v>
      </c>
      <c r="Y29" s="209">
        <f t="shared" si="25"/>
        <v>9.5614032797942894</v>
      </c>
      <c r="Z29" s="182">
        <f t="shared" si="10"/>
        <v>0</v>
      </c>
      <c r="AA29" s="209">
        <f t="shared" si="24"/>
        <v>0</v>
      </c>
      <c r="AB29" s="206">
        <f t="shared" si="26"/>
        <v>9.5614032797942894</v>
      </c>
      <c r="AC29" s="183">
        <f t="shared" si="11"/>
        <v>31.490762074149661</v>
      </c>
      <c r="AD29" s="184" t="str">
        <f>IF($C29="OH",HLOOKUP($B29,'Overhead Lights'!$C$5:$K$57,'Overhead Lights'!$A$13,FALSE),HLOOKUP($B29,'Underground Lights'!$C$4:$Q$80,'Underground Lights'!$A$12,FALSE))</f>
        <v>New</v>
      </c>
      <c r="AE29" s="185" t="str">
        <f t="shared" si="18"/>
        <v>-</v>
      </c>
      <c r="AF29" s="186" t="str">
        <f t="shared" si="19"/>
        <v>-</v>
      </c>
      <c r="AG29" s="187">
        <f>IFERROR(SUMIFS('Forecasted Lights'!$F$4:$F$87,'Forecasted Lights'!$A$4:$A$87,$B29),"N/A")</f>
        <v>0</v>
      </c>
      <c r="AH29" s="188">
        <f t="shared" si="20"/>
        <v>0</v>
      </c>
      <c r="AI29" s="188" t="str">
        <f t="shared" si="21"/>
        <v>N/A</v>
      </c>
      <c r="AJ29" s="188">
        <f t="shared" si="22"/>
        <v>0</v>
      </c>
      <c r="AK29" s="189">
        <f t="shared" si="23"/>
        <v>0</v>
      </c>
      <c r="AL29" t="s">
        <v>509</v>
      </c>
    </row>
    <row r="30" spans="1:38" x14ac:dyDescent="0.25">
      <c r="A30" s="238" t="s">
        <v>195</v>
      </c>
      <c r="B30" s="239" t="s">
        <v>544</v>
      </c>
      <c r="C30" s="239" t="s">
        <v>198</v>
      </c>
      <c r="D30" s="240" t="str">
        <f>IF($C30="OH",HLOOKUP($B30,'Overhead Lights'!$C$5:$K$57,'Overhead Lights'!$A$10,FALSE),HLOOKUP($B30,'Underground Lights'!$C$4:$Q$80,'Underground Lights'!$A$9,FALSE))</f>
        <v>LED</v>
      </c>
      <c r="E30" s="178" t="str">
        <f>IF($C30="OH",HLOOKUP($B30,'Overhead Lights'!$C$5:$K$57,'Overhead Lights'!$A$7,FALSE),HLOOKUP($B30,'Underground Lights'!$C$4:$Q$80,'Underground Lights'!$A$6,FALSE))</f>
        <v>Contemporary</v>
      </c>
      <c r="F30" s="178" t="str">
        <f>IF($C30="OH",HLOOKUP($B30,'Overhead Lights'!$C$5:$K$57,'Overhead Lights'!$A$8,FALSE),HLOOKUP($B30,'Underground Lights'!$C$4:$Q$80,'Underground Lights'!$A$7,FALSE))</f>
        <v>Decorative Smooth</v>
      </c>
      <c r="G30" s="178" t="str">
        <f>IF($C30="OH",HLOOKUP($B30,'Overhead Lights'!$C$5:$K$57,'Overhead Lights'!$A$11,FALSE),HLOOKUP($B30,'Underground Lights'!$C$4:$Q$80,'Underground Lights'!$A$10,FALSE))</f>
        <v>400w</v>
      </c>
      <c r="H30" s="178">
        <f>IF($C30="OH",HLOOKUP($B30,'Overhead Lights'!$C$5:$K$57,'Overhead Lights'!$A$12,FALSE),HLOOKUP($B30,'Underground Lights'!$C$4:$Q$80,'Underground Lights'!$A$11,FALSE))</f>
        <v>220</v>
      </c>
      <c r="I30" s="179" t="str">
        <f>IF($C30="OH",HLOOKUP($B30,'Overhead Lights'!$C$5:$K$57,'Overhead Lights'!$A$9,FALSE),HLOOKUP($B30,'Underground Lights'!$C$4:$Q$80,'Underground Lights'!$A$8,FALSE))</f>
        <v>21000-28000</v>
      </c>
      <c r="J30" s="231">
        <f>IFERROR(IF(C30="UG",VLOOKUP($AL30,'Maintenance &amp; NBV'!$B$43:$K$47,9,FALSE),0),0)</f>
        <v>1512.3982942283665</v>
      </c>
      <c r="K30" s="180">
        <f>IF($C30="UG",HLOOKUP($B30,'Underground Lights'!$C$4:$S$80,67,FALSE),HLOOKUP($B30,'Overhead Lights'!$C$5:$K$57,47,FALSE))</f>
        <v>687.44253600000013</v>
      </c>
      <c r="L30" s="213">
        <f t="shared" si="0"/>
        <v>2199.8408302283665</v>
      </c>
      <c r="M30" s="312" t="s">
        <v>492</v>
      </c>
      <c r="N30" s="292" t="s">
        <v>503</v>
      </c>
      <c r="O30" s="163">
        <f t="shared" si="1"/>
        <v>258.10034574336163</v>
      </c>
      <c r="P30" s="163">
        <f t="shared" si="2"/>
        <v>104.25857767716606</v>
      </c>
      <c r="Q30" s="213">
        <f t="shared" si="3"/>
        <v>362.35892342052767</v>
      </c>
      <c r="R30" s="182">
        <f>IF($C30="OH",HLOOKUP($B30,'Overhead Lights'!$C$5:$K$57,52,FALSE),HLOOKUP($B30,'Underground Lights'!$C$4:$Q$84,79,FALSE))</f>
        <v>5.0519597889028978</v>
      </c>
      <c r="S30" s="286">
        <f t="shared" si="4"/>
        <v>5.0519597889028978</v>
      </c>
      <c r="T30" s="181">
        <f t="shared" si="5"/>
        <v>31.943999999999999</v>
      </c>
      <c r="U30" s="181">
        <f t="shared" si="6"/>
        <v>1.7805333333333333</v>
      </c>
      <c r="V30" s="181">
        <f t="shared" si="7"/>
        <v>0.72453333333333336</v>
      </c>
      <c r="W30" s="181">
        <f t="shared" si="8"/>
        <v>0</v>
      </c>
      <c r="X30" s="182">
        <f t="shared" si="9"/>
        <v>35.784640267452545</v>
      </c>
      <c r="Y30" s="209">
        <f t="shared" si="25"/>
        <v>13.855281473097172</v>
      </c>
      <c r="Z30" s="182">
        <f t="shared" si="10"/>
        <v>0</v>
      </c>
      <c r="AA30" s="209">
        <f t="shared" si="24"/>
        <v>0</v>
      </c>
      <c r="AB30" s="206">
        <f t="shared" si="26"/>
        <v>13.855281473097172</v>
      </c>
      <c r="AC30" s="183">
        <f t="shared" si="11"/>
        <v>35.784640267452545</v>
      </c>
      <c r="AD30" s="184" t="str">
        <f>IF($C30="OH",HLOOKUP($B30,'Overhead Lights'!$C$5:$K$57,'Overhead Lights'!$A$13,FALSE),HLOOKUP($B30,'Underground Lights'!$C$4:$Q$80,'Underground Lights'!$A$12,FALSE))</f>
        <v>New</v>
      </c>
      <c r="AE30" s="185" t="str">
        <f t="shared" si="18"/>
        <v>-</v>
      </c>
      <c r="AF30" s="186" t="str">
        <f t="shared" si="19"/>
        <v>-</v>
      </c>
      <c r="AG30" s="187">
        <f>IFERROR(SUMIFS('Forecasted Lights'!$F$4:$F$87,'Forecasted Lights'!$A$4:$A$87,$B30),"N/A")</f>
        <v>0</v>
      </c>
      <c r="AH30" s="188">
        <f t="shared" si="20"/>
        <v>0</v>
      </c>
      <c r="AI30" s="188" t="str">
        <f t="shared" si="21"/>
        <v>N/A</v>
      </c>
      <c r="AJ30" s="188">
        <f t="shared" si="22"/>
        <v>0</v>
      </c>
      <c r="AK30" s="189">
        <f t="shared" si="23"/>
        <v>0</v>
      </c>
      <c r="AL30" t="s">
        <v>509</v>
      </c>
    </row>
    <row r="31" spans="1:38" x14ac:dyDescent="0.25">
      <c r="A31" s="238" t="s">
        <v>195</v>
      </c>
      <c r="B31" s="239" t="s">
        <v>545</v>
      </c>
      <c r="C31" s="239" t="s">
        <v>198</v>
      </c>
      <c r="D31" s="240" t="str">
        <f>IF($C31="OH",HLOOKUP($B31,'Overhead Lights'!$C$5:$K$57,'Overhead Lights'!$A$10,FALSE),HLOOKUP($B31,'Underground Lights'!$C$4:$Q$80,'Underground Lights'!$A$9,FALSE))</f>
        <v>LED</v>
      </c>
      <c r="E31" s="178" t="str">
        <f>IF($C31="OH",HLOOKUP($B31,'Overhead Lights'!$C$5:$K$57,'Overhead Lights'!$A$7,FALSE),HLOOKUP($B31,'Underground Lights'!$C$4:$Q$80,'Underground Lights'!$A$6,FALSE))</f>
        <v>Contemporary</v>
      </c>
      <c r="F31" s="178" t="str">
        <f>IF($C31="OH",HLOOKUP($B31,'Overhead Lights'!$C$5:$K$57,'Overhead Lights'!$A$8,FALSE),HLOOKUP($B31,'Underground Lights'!$C$4:$Q$80,'Underground Lights'!$A$7,FALSE))</f>
        <v>Decorative Smooth</v>
      </c>
      <c r="G31" s="178" t="str">
        <f>IF($C31="OH",HLOOKUP($B31,'Overhead Lights'!$C$5:$K$57,'Overhead Lights'!$A$11,FALSE),HLOOKUP($B31,'Underground Lights'!$C$4:$Q$80,'Underground Lights'!$A$10,FALSE))</f>
        <v>1000w</v>
      </c>
      <c r="H31" s="178">
        <f>IF($C31="OH",HLOOKUP($B31,'Overhead Lights'!$C$5:$K$57,'Overhead Lights'!$A$12,FALSE),HLOOKUP($B31,'Underground Lights'!$C$4:$Q$80,'Underground Lights'!$A$11,FALSE))</f>
        <v>380</v>
      </c>
      <c r="I31" s="179" t="str">
        <f>IF($C31="OH",HLOOKUP($B31,'Overhead Lights'!$C$5:$K$57,'Overhead Lights'!$A$9,FALSE),HLOOKUP($B31,'Underground Lights'!$C$4:$Q$80,'Underground Lights'!$A$8,FALSE))</f>
        <v>45000-50000</v>
      </c>
      <c r="J31" s="231">
        <f>IFERROR(IF(C31="UG",VLOOKUP($AL31,'Maintenance &amp; NBV'!$B$43:$K$47,9,FALSE),0),0)</f>
        <v>1512.3982942283665</v>
      </c>
      <c r="K31" s="180">
        <f>IF($C31="UG",HLOOKUP($B31,'Underground Lights'!$C$4:$S$80,67,FALSE),HLOOKUP($B31,'Overhead Lights'!$C$5:$K$57,47,FALSE))</f>
        <v>947.91153600000018</v>
      </c>
      <c r="L31" s="213">
        <f t="shared" si="0"/>
        <v>2460.3098302283665</v>
      </c>
      <c r="M31" s="312" t="s">
        <v>492</v>
      </c>
      <c r="N31" s="292" t="s">
        <v>503</v>
      </c>
      <c r="O31" s="163">
        <f t="shared" si="1"/>
        <v>258.10034574336163</v>
      </c>
      <c r="P31" s="163">
        <f t="shared" si="2"/>
        <v>143.76170127933105</v>
      </c>
      <c r="Q31" s="213">
        <f t="shared" si="3"/>
        <v>401.86204702269265</v>
      </c>
      <c r="R31" s="182">
        <f>IF($C31="OH",HLOOKUP($B31,'Overhead Lights'!$C$5:$K$57,52,FALSE),HLOOKUP($B31,'Underground Lights'!$C$4:$Q$84,79,FALSE))</f>
        <v>5.0519597889028978</v>
      </c>
      <c r="S31" s="286">
        <f t="shared" si="4"/>
        <v>5.0519597889028978</v>
      </c>
      <c r="T31" s="181">
        <f t="shared" si="5"/>
        <v>55.176000000000002</v>
      </c>
      <c r="U31" s="181">
        <f t="shared" si="6"/>
        <v>3.0754666666666668</v>
      </c>
      <c r="V31" s="181">
        <f t="shared" si="7"/>
        <v>1.2514666666666667</v>
      </c>
      <c r="W31" s="181">
        <f t="shared" si="8"/>
        <v>0</v>
      </c>
      <c r="X31" s="182">
        <f t="shared" si="9"/>
        <v>42.834433900966289</v>
      </c>
      <c r="Y31" s="209">
        <f t="shared" si="25"/>
        <v>20.905075106610923</v>
      </c>
      <c r="Z31" s="182">
        <f t="shared" si="10"/>
        <v>0</v>
      </c>
      <c r="AA31" s="209">
        <f t="shared" si="24"/>
        <v>0</v>
      </c>
      <c r="AB31" s="206">
        <f t="shared" si="26"/>
        <v>20.905075106610923</v>
      </c>
      <c r="AC31" s="183">
        <f t="shared" si="11"/>
        <v>42.834433900966289</v>
      </c>
      <c r="AD31" s="184" t="str">
        <f>IF($C31="OH",HLOOKUP($B31,'Overhead Lights'!$C$5:$K$57,'Overhead Lights'!$A$13,FALSE),HLOOKUP($B31,'Underground Lights'!$C$4:$Q$80,'Underground Lights'!$A$12,FALSE))</f>
        <v>New</v>
      </c>
      <c r="AE31" s="185" t="str">
        <f t="shared" si="18"/>
        <v>-</v>
      </c>
      <c r="AF31" s="186" t="str">
        <f t="shared" si="19"/>
        <v>-</v>
      </c>
      <c r="AG31" s="187">
        <f>IFERROR(SUMIFS('Forecasted Lights'!$F$4:$F$87,'Forecasted Lights'!$A$4:$A$87,$B31),"N/A")</f>
        <v>0</v>
      </c>
      <c r="AH31" s="188">
        <f t="shared" si="20"/>
        <v>0</v>
      </c>
      <c r="AI31" s="188" t="str">
        <f t="shared" si="21"/>
        <v>N/A</v>
      </c>
      <c r="AJ31" s="188">
        <f t="shared" si="22"/>
        <v>0</v>
      </c>
      <c r="AK31" s="189">
        <f t="shared" si="23"/>
        <v>0</v>
      </c>
      <c r="AL31" t="s">
        <v>509</v>
      </c>
    </row>
    <row r="32" spans="1:38" x14ac:dyDescent="0.25">
      <c r="A32" s="238" t="s">
        <v>195</v>
      </c>
      <c r="B32" s="239" t="s">
        <v>546</v>
      </c>
      <c r="C32" s="239" t="s">
        <v>198</v>
      </c>
      <c r="D32" s="240" t="str">
        <f>IF($C32="OH",HLOOKUP($B32,'Overhead Lights'!$C$5:$K$57,'Overhead Lights'!$A$10,FALSE),HLOOKUP($B32,'Underground Lights'!$C$4:$Q$80,'Underground Lights'!$A$9,FALSE))</f>
        <v>LED</v>
      </c>
      <c r="E32" s="178" t="str">
        <f>IF($C32="OH",HLOOKUP($B32,'Overhead Lights'!$C$5:$K$57,'Overhead Lights'!$A$7,FALSE),HLOOKUP($B32,'Underground Lights'!$C$4:$Q$80,'Underground Lights'!$A$6,FALSE))</f>
        <v>Cobra</v>
      </c>
      <c r="F32" s="178" t="str">
        <f>IF($C32="OH",HLOOKUP($B32,'Overhead Lights'!$C$5:$K$57,'Overhead Lights'!$A$8,FALSE),HLOOKUP($B32,'Underground Lights'!$C$4:$Q$80,'Underground Lights'!$A$7,FALSE))</f>
        <v>Decorative Smooth</v>
      </c>
      <c r="G32" s="178" t="str">
        <f>IF($C32="OH",HLOOKUP($B32,'Overhead Lights'!$C$5:$K$57,'Overhead Lights'!$A$11,FALSE),HLOOKUP($B32,'Underground Lights'!$C$4:$Q$80,'Underground Lights'!$A$10,FALSE))</f>
        <v>70w</v>
      </c>
      <c r="H32" s="178">
        <f>IF($C32="OH",HLOOKUP($B32,'Overhead Lights'!$C$5:$K$57,'Overhead Lights'!$A$12,FALSE),HLOOKUP($B32,'Underground Lights'!$C$4:$Q$80,'Underground Lights'!$A$11,FALSE))</f>
        <v>22</v>
      </c>
      <c r="I32" s="179" t="str">
        <f>IF($C32="OH",HLOOKUP($B32,'Overhead Lights'!$C$5:$K$57,'Overhead Lights'!$A$9,FALSE),HLOOKUP($B32,'Underground Lights'!$C$4:$Q$80,'Underground Lights'!$A$8,FALSE))</f>
        <v>2500-4000</v>
      </c>
      <c r="J32" s="228">
        <f>IFERROR(IF(C32="UG",VLOOKUP($AL32,'Maintenance &amp; NBV'!$B$43:$K$47,9,FALSE),0),0)</f>
        <v>2149.6578198722855</v>
      </c>
      <c r="K32" s="180">
        <f>IF($C32="UG",HLOOKUP($B32,'Underground Lights'!$C$4:$S$80,67,FALSE),HLOOKUP($B32,'Overhead Lights'!$C$5:$K$57,47,FALSE))</f>
        <v>270.692136</v>
      </c>
      <c r="L32" s="213">
        <f t="shared" si="0"/>
        <v>2420.3499558722856</v>
      </c>
      <c r="M32" s="312" t="s">
        <v>492</v>
      </c>
      <c r="N32" s="292" t="s">
        <v>503</v>
      </c>
      <c r="O32" s="163">
        <f t="shared" si="1"/>
        <v>366.8527190597195</v>
      </c>
      <c r="P32" s="163">
        <f t="shared" si="2"/>
        <v>41.053579913702038</v>
      </c>
      <c r="Q32" s="213">
        <f t="shared" si="3"/>
        <v>407.90629897342154</v>
      </c>
      <c r="R32" s="182">
        <f>IF($C32="OH",HLOOKUP($B32,'Overhead Lights'!$C$5:$K$57,52,FALSE),HLOOKUP($B32,'Underground Lights'!$C$4:$Q$84,79,FALSE))</f>
        <v>5.0519597889028978</v>
      </c>
      <c r="S32" s="286">
        <f t="shared" si="4"/>
        <v>5.0519597889028978</v>
      </c>
      <c r="T32" s="181">
        <f t="shared" si="5"/>
        <v>3.1943999999999999</v>
      </c>
      <c r="U32" s="181">
        <f t="shared" si="6"/>
        <v>0.17805333333333331</v>
      </c>
      <c r="V32" s="181">
        <f t="shared" si="7"/>
        <v>7.2453333333333328E-2</v>
      </c>
      <c r="W32" s="181">
        <f t="shared" si="8"/>
        <v>0</v>
      </c>
      <c r="X32" s="182">
        <f t="shared" si="9"/>
        <v>34.929894896860368</v>
      </c>
      <c r="Y32" s="209">
        <f t="shared" si="25"/>
        <v>3.9378383261418364</v>
      </c>
      <c r="Z32" s="182">
        <f t="shared" si="10"/>
        <v>0</v>
      </c>
      <c r="AA32" s="209">
        <f t="shared" si="24"/>
        <v>0</v>
      </c>
      <c r="AB32" s="206">
        <f t="shared" si="26"/>
        <v>3.9378383261418364</v>
      </c>
      <c r="AC32" s="183">
        <f t="shared" si="11"/>
        <v>34.929894896860368</v>
      </c>
      <c r="AD32" s="184" t="str">
        <f>IF($C32="OH",HLOOKUP($B32,'Overhead Lights'!$C$5:$K$57,'Overhead Lights'!$A$13,FALSE),HLOOKUP($B32,'Underground Lights'!$C$4:$Q$80,'Underground Lights'!$A$12,FALSE))</f>
        <v>New</v>
      </c>
      <c r="AE32" s="185" t="str">
        <f t="shared" si="18"/>
        <v>-</v>
      </c>
      <c r="AF32" s="186" t="str">
        <f t="shared" si="19"/>
        <v>-</v>
      </c>
      <c r="AG32" s="187">
        <f>IFERROR(SUMIFS('Forecasted Lights'!$F$4:$F$87,'Forecasted Lights'!$A$4:$A$87,$B32),"N/A")</f>
        <v>0</v>
      </c>
      <c r="AH32" s="188">
        <f t="shared" si="20"/>
        <v>0</v>
      </c>
      <c r="AI32" s="188" t="str">
        <f t="shared" si="21"/>
        <v>N/A</v>
      </c>
      <c r="AJ32" s="188">
        <f t="shared" si="22"/>
        <v>0</v>
      </c>
      <c r="AK32" s="189">
        <f t="shared" si="23"/>
        <v>0</v>
      </c>
      <c r="AL32" t="s">
        <v>497</v>
      </c>
    </row>
    <row r="33" spans="1:38" x14ac:dyDescent="0.25">
      <c r="A33" s="238" t="s">
        <v>195</v>
      </c>
      <c r="B33" s="239" t="s">
        <v>555</v>
      </c>
      <c r="C33" s="239" t="s">
        <v>198</v>
      </c>
      <c r="D33" s="240" t="str">
        <f>IF($C33="OH",HLOOKUP($B33,'Overhead Lights'!$C$5:$K$57,'Overhead Lights'!$A$10,FALSE),HLOOKUP($B33,'Underground Lights'!$C$4:$Q$80,'Underground Lights'!$A$9,FALSE))</f>
        <v>LED</v>
      </c>
      <c r="E33" s="178" t="s">
        <v>196</v>
      </c>
      <c r="F33" s="178">
        <f>IF($C33="OH",HLOOKUP($B33,'Overhead Lights'!$C$5:$K$57,'Overhead Lights'!$A$8,FALSE),HLOOKUP($B33,'Underground Lights'!$C$4:$Q$80,'Underground Lights'!$A$7,FALSE))</f>
        <v>0</v>
      </c>
      <c r="G33" s="178" t="str">
        <f>IF($C33="OH",HLOOKUP($B33,'Overhead Lights'!$C$5:$K$57,'Overhead Lights'!$A$11,FALSE),HLOOKUP($B33,'Underground Lights'!$C$4:$Q$80,'Underground Lights'!$A$10,FALSE))</f>
        <v>70w-100w</v>
      </c>
      <c r="H33" s="178">
        <f>IF($C33="OH",HLOOKUP($B33,'Overhead Lights'!$C$5:$K$57,'Overhead Lights'!$A$12,FALSE),HLOOKUP($B33,'Underground Lights'!$C$4:$Q$80,'Underground Lights'!$A$11,FALSE))</f>
        <v>30</v>
      </c>
      <c r="I33" s="179" t="str">
        <f>IF($C33="OH",HLOOKUP($B33,'Overhead Lights'!$C$5:$K$57,'Overhead Lights'!$A$9,FALSE),HLOOKUP($B33,'Underground Lights'!$C$4:$Q$80,'Underground Lights'!$A$8,FALSE))</f>
        <v>4500-6000</v>
      </c>
      <c r="J33" s="228">
        <f>IFERROR(IF(C33="UG",VLOOKUP($AL33,'Maintenance &amp; NBV'!$B$43:$K$47,9,FALSE),0),0)</f>
        <v>0</v>
      </c>
      <c r="K33" s="180">
        <f>IF($C33="UG",HLOOKUP($B33,'Underground Lights'!$C$4:$S$80,67,FALSE),HLOOKUP($B33,'Overhead Lights'!$C$5:$K$57,47,FALSE))</f>
        <v>566.19421650000015</v>
      </c>
      <c r="L33" s="213">
        <f t="shared" si="0"/>
        <v>566.19421650000015</v>
      </c>
      <c r="M33" s="312" t="s">
        <v>492</v>
      </c>
      <c r="N33" s="292" t="s">
        <v>503</v>
      </c>
      <c r="O33" s="163">
        <f t="shared" si="1"/>
        <v>0</v>
      </c>
      <c r="P33" s="163">
        <f t="shared" si="2"/>
        <v>85.86987364035825</v>
      </c>
      <c r="Q33" s="213">
        <f t="shared" si="3"/>
        <v>85.86987364035825</v>
      </c>
      <c r="R33" s="182">
        <f>IF($C33="OH",HLOOKUP($B33,'Overhead Lights'!$C$5:$K$57,52,FALSE),HLOOKUP($B33,'Underground Lights'!$C$4:$Q$84,79,FALSE))</f>
        <v>5.0519597889028978</v>
      </c>
      <c r="S33" s="286">
        <f t="shared" si="4"/>
        <v>5.0519597889028978</v>
      </c>
      <c r="T33" s="181">
        <f t="shared" si="5"/>
        <v>4.3559999999999999</v>
      </c>
      <c r="U33" s="181">
        <f t="shared" si="6"/>
        <v>0.24279999999999999</v>
      </c>
      <c r="V33" s="181">
        <f t="shared" si="7"/>
        <v>9.8799999999999999E-2</v>
      </c>
      <c r="W33" s="181">
        <f t="shared" si="8"/>
        <v>0</v>
      </c>
      <c r="X33" s="182">
        <f t="shared" si="9"/>
        <v>8.2814194524384295</v>
      </c>
      <c r="Y33" s="209">
        <f t="shared" si="25"/>
        <v>7.8604228033631864</v>
      </c>
      <c r="Z33" s="182">
        <f t="shared" si="10"/>
        <v>0</v>
      </c>
      <c r="AA33" s="209">
        <f t="shared" si="24"/>
        <v>0</v>
      </c>
      <c r="AB33" s="206">
        <f t="shared" si="26"/>
        <v>7.8604228033631864</v>
      </c>
      <c r="AC33" s="183">
        <f t="shared" si="11"/>
        <v>8.2814194524384295</v>
      </c>
      <c r="AD33" s="184">
        <f>IF($C33="OH",HLOOKUP($B33,'Overhead Lights'!$C$5:$K$57,'Overhead Lights'!$A$13,FALSE),HLOOKUP($B33,'Underground Lights'!$C$4:$Q$80,'Underground Lights'!$A$12,FALSE))</f>
        <v>0</v>
      </c>
      <c r="AE33" s="185">
        <f t="shared" ref="AE33:AE36" si="27">IFERROR(AC33-AD33,"-")</f>
        <v>8.2814194524384295</v>
      </c>
      <c r="AF33" s="186" t="str">
        <f t="shared" ref="AF33:AF36" si="28">IFERROR(AE33/AD33,"-")</f>
        <v>-</v>
      </c>
      <c r="AG33" s="187">
        <f>IFERROR(SUMIFS('Forecasted Lights'!$F$4:$F$87,'Forecasted Lights'!$A$4:$A$87,$B33),"N/A")</f>
        <v>0</v>
      </c>
      <c r="AH33" s="188">
        <f t="shared" ref="AH33:AH36" si="29">IFERROR(AG33*AC33,"N/A")</f>
        <v>0</v>
      </c>
      <c r="AI33" s="188">
        <f t="shared" ref="AI33:AI36" si="30">IFERROR(AG33*AD33,"N/A")</f>
        <v>0</v>
      </c>
      <c r="AJ33" s="188">
        <f t="shared" ref="AJ33:AJ36" si="31">AH33*12</f>
        <v>0</v>
      </c>
      <c r="AK33" s="189">
        <f t="shared" ref="AK33:AK36" si="32">IFERROR(AI33*12,0)</f>
        <v>0</v>
      </c>
      <c r="AL33" t="s">
        <v>196</v>
      </c>
    </row>
    <row r="34" spans="1:38" x14ac:dyDescent="0.25">
      <c r="A34" s="238" t="s">
        <v>195</v>
      </c>
      <c r="B34" s="239" t="s">
        <v>556</v>
      </c>
      <c r="C34" s="239" t="s">
        <v>198</v>
      </c>
      <c r="D34" s="240" t="str">
        <f>IF($C34="OH",HLOOKUP($B34,'Overhead Lights'!$C$5:$K$57,'Overhead Lights'!$A$10,FALSE),HLOOKUP($B34,'Underground Lights'!$C$4:$Q$80,'Underground Lights'!$A$9,FALSE))</f>
        <v>LED</v>
      </c>
      <c r="E34" s="178" t="s">
        <v>196</v>
      </c>
      <c r="F34" s="178">
        <f>IF($C34="OH",HLOOKUP($B34,'Overhead Lights'!$C$5:$K$57,'Overhead Lights'!$A$8,FALSE),HLOOKUP($B34,'Underground Lights'!$C$4:$Q$80,'Underground Lights'!$A$7,FALSE))</f>
        <v>0</v>
      </c>
      <c r="G34" s="178" t="str">
        <f>IF($C34="OH",HLOOKUP($B34,'Overhead Lights'!$C$5:$K$57,'Overhead Lights'!$A$11,FALSE),HLOOKUP($B34,'Underground Lights'!$C$4:$Q$80,'Underground Lights'!$A$10,FALSE))</f>
        <v>150w-200w</v>
      </c>
      <c r="H34" s="178">
        <f>IF($C34="OH",HLOOKUP($B34,'Overhead Lights'!$C$5:$K$57,'Overhead Lights'!$A$12,FALSE),HLOOKUP($B34,'Underground Lights'!$C$4:$Q$80,'Underground Lights'!$A$11,FALSE))</f>
        <v>96</v>
      </c>
      <c r="I34" s="179" t="str">
        <f>IF($C34="OH",HLOOKUP($B34,'Overhead Lights'!$C$5:$K$57,'Overhead Lights'!$A$9,FALSE),HLOOKUP($B34,'Underground Lights'!$C$4:$Q$80,'Underground Lights'!$A$8,FALSE))</f>
        <v>14000-17500</v>
      </c>
      <c r="J34" s="228">
        <f>IFERROR(IF(C34="UG",VLOOKUP($AL34,'Maintenance &amp; NBV'!$B$43:$K$47,9,FALSE),0),0)</f>
        <v>0</v>
      </c>
      <c r="K34" s="180">
        <f>IF($C34="UG",HLOOKUP($B34,'Underground Lights'!$C$4:$S$80,67,FALSE),HLOOKUP($B34,'Overhead Lights'!$C$5:$K$57,47,FALSE))</f>
        <v>585.72939150000013</v>
      </c>
      <c r="L34" s="213">
        <f t="shared" si="0"/>
        <v>585.72939150000013</v>
      </c>
      <c r="M34" s="312" t="s">
        <v>492</v>
      </c>
      <c r="N34" s="292" t="s">
        <v>503</v>
      </c>
      <c r="O34" s="163">
        <f t="shared" si="1"/>
        <v>0</v>
      </c>
      <c r="P34" s="163">
        <f t="shared" si="2"/>
        <v>88.832607910520622</v>
      </c>
      <c r="Q34" s="213">
        <f t="shared" si="3"/>
        <v>88.832607910520622</v>
      </c>
      <c r="R34" s="182">
        <f>IF($C34="OH",HLOOKUP($B34,'Overhead Lights'!$C$5:$K$57,52,FALSE),HLOOKUP($B34,'Underground Lights'!$C$4:$Q$84,79,FALSE))</f>
        <v>5.0519597889028978</v>
      </c>
      <c r="S34" s="286">
        <f t="shared" si="4"/>
        <v>5.0519597889028978</v>
      </c>
      <c r="T34" s="181">
        <f t="shared" si="5"/>
        <v>13.9392</v>
      </c>
      <c r="U34" s="181">
        <f t="shared" si="6"/>
        <v>0.77695999999999998</v>
      </c>
      <c r="V34" s="181">
        <f t="shared" si="7"/>
        <v>0.31616</v>
      </c>
      <c r="W34" s="181">
        <f t="shared" si="8"/>
        <v>0</v>
      </c>
      <c r="X34" s="182">
        <f t="shared" si="9"/>
        <v>10.07843397495196</v>
      </c>
      <c r="Y34" s="209">
        <f t="shared" si="25"/>
        <v>9.6574373258767192</v>
      </c>
      <c r="Z34" s="182">
        <f t="shared" si="10"/>
        <v>0</v>
      </c>
      <c r="AA34" s="209">
        <f t="shared" si="24"/>
        <v>0</v>
      </c>
      <c r="AB34" s="206">
        <f t="shared" si="26"/>
        <v>9.6574373258767192</v>
      </c>
      <c r="AC34" s="183">
        <f t="shared" si="11"/>
        <v>10.07843397495196</v>
      </c>
      <c r="AD34" s="184">
        <f>IF($C34="OH",HLOOKUP($B34,'Overhead Lights'!$C$5:$K$57,'Overhead Lights'!$A$13,FALSE),HLOOKUP($B34,'Underground Lights'!$C$4:$Q$80,'Underground Lights'!$A$12,FALSE))</f>
        <v>0</v>
      </c>
      <c r="AE34" s="185">
        <f t="shared" si="27"/>
        <v>10.07843397495196</v>
      </c>
      <c r="AF34" s="186" t="str">
        <f t="shared" si="28"/>
        <v>-</v>
      </c>
      <c r="AG34" s="187">
        <f>IFERROR(SUMIFS('Forecasted Lights'!$F$4:$F$87,'Forecasted Lights'!$A$4:$A$87,$B34),"N/A")</f>
        <v>0</v>
      </c>
      <c r="AH34" s="188">
        <f t="shared" si="29"/>
        <v>0</v>
      </c>
      <c r="AI34" s="188">
        <f t="shared" si="30"/>
        <v>0</v>
      </c>
      <c r="AJ34" s="188">
        <f t="shared" si="31"/>
        <v>0</v>
      </c>
      <c r="AK34" s="189">
        <f t="shared" si="32"/>
        <v>0</v>
      </c>
      <c r="AL34" t="s">
        <v>196</v>
      </c>
    </row>
    <row r="35" spans="1:38" x14ac:dyDescent="0.25">
      <c r="A35" s="238" t="s">
        <v>195</v>
      </c>
      <c r="B35" s="239" t="s">
        <v>557</v>
      </c>
      <c r="C35" s="239" t="s">
        <v>198</v>
      </c>
      <c r="D35" s="240" t="str">
        <f>IF($C35="OH",HLOOKUP($B35,'Overhead Lights'!$C$5:$K$57,'Overhead Lights'!$A$10,FALSE),HLOOKUP($B35,'Underground Lights'!$C$4:$Q$80,'Underground Lights'!$A$9,FALSE))</f>
        <v>LED</v>
      </c>
      <c r="E35" s="178" t="s">
        <v>196</v>
      </c>
      <c r="F35" s="178">
        <f>IF($C35="OH",HLOOKUP($B35,'Overhead Lights'!$C$5:$K$57,'Overhead Lights'!$A$8,FALSE),HLOOKUP($B35,'Underground Lights'!$C$4:$Q$80,'Underground Lights'!$A$7,FALSE))</f>
        <v>0</v>
      </c>
      <c r="G35" s="178" t="str">
        <f>IF($C35="OH",HLOOKUP($B35,'Overhead Lights'!$C$5:$K$57,'Overhead Lights'!$A$11,FALSE),HLOOKUP($B35,'Underground Lights'!$C$4:$Q$80,'Underground Lights'!$A$10,FALSE))</f>
        <v>400w</v>
      </c>
      <c r="H35" s="178">
        <f>IF($C35="OH",HLOOKUP($B35,'Overhead Lights'!$C$5:$K$57,'Overhead Lights'!$A$12,FALSE),HLOOKUP($B35,'Underground Lights'!$C$4:$Q$80,'Underground Lights'!$A$11,FALSE))</f>
        <v>175</v>
      </c>
      <c r="I35" s="179" t="str">
        <f>IF($C35="OH",HLOOKUP($B35,'Overhead Lights'!$C$5:$K$57,'Overhead Lights'!$A$9,FALSE),HLOOKUP($B35,'Underground Lights'!$C$4:$Q$80,'Underground Lights'!$A$8,FALSE))</f>
        <v>22000-28000</v>
      </c>
      <c r="J35" s="228">
        <f>IFERROR(IF(C35="UG",VLOOKUP($AL35,'Maintenance &amp; NBV'!$B$43:$K$47,9,FALSE),0),0)</f>
        <v>0</v>
      </c>
      <c r="K35" s="180">
        <f>IF($C35="UG",HLOOKUP($B35,'Underground Lights'!$C$4:$S$80,67,FALSE),HLOOKUP($B35,'Overhead Lights'!$C$5:$K$57,47,FALSE))</f>
        <v>624.7997415000001</v>
      </c>
      <c r="L35" s="213">
        <f t="shared" si="0"/>
        <v>624.7997415000001</v>
      </c>
      <c r="M35" s="312" t="s">
        <v>492</v>
      </c>
      <c r="N35" s="292" t="s">
        <v>503</v>
      </c>
      <c r="O35" s="163">
        <f t="shared" si="1"/>
        <v>0</v>
      </c>
      <c r="P35" s="163">
        <f t="shared" si="2"/>
        <v>94.758076450845365</v>
      </c>
      <c r="Q35" s="213">
        <f t="shared" si="3"/>
        <v>94.758076450845365</v>
      </c>
      <c r="R35" s="182">
        <f>IF($C35="OH",HLOOKUP($B35,'Overhead Lights'!$C$5:$K$57,52,FALSE),HLOOKUP($B35,'Underground Lights'!$C$4:$Q$84,79,FALSE))</f>
        <v>5.0519597889028978</v>
      </c>
      <c r="S35" s="286">
        <f t="shared" si="4"/>
        <v>5.0519597889028978</v>
      </c>
      <c r="T35" s="181">
        <f t="shared" si="5"/>
        <v>25.41</v>
      </c>
      <c r="U35" s="181">
        <f t="shared" si="6"/>
        <v>1.4163333333333332</v>
      </c>
      <c r="V35" s="181">
        <f t="shared" si="7"/>
        <v>0.57633333333333336</v>
      </c>
      <c r="W35" s="181">
        <f t="shared" si="8"/>
        <v>0</v>
      </c>
      <c r="X35" s="182">
        <f t="shared" si="9"/>
        <v>12.427669686645689</v>
      </c>
      <c r="Y35" s="209">
        <f t="shared" si="25"/>
        <v>12.006673037570447</v>
      </c>
      <c r="Z35" s="182">
        <f t="shared" si="10"/>
        <v>0</v>
      </c>
      <c r="AA35" s="209">
        <f t="shared" si="24"/>
        <v>0</v>
      </c>
      <c r="AB35" s="206">
        <f t="shared" si="26"/>
        <v>12.006673037570447</v>
      </c>
      <c r="AC35" s="183">
        <f t="shared" si="11"/>
        <v>12.427669686645689</v>
      </c>
      <c r="AD35" s="184">
        <f>IF($C35="OH",HLOOKUP($B35,'Overhead Lights'!$C$5:$K$57,'Overhead Lights'!$A$13,FALSE),HLOOKUP($B35,'Underground Lights'!$C$4:$Q$80,'Underground Lights'!$A$12,FALSE))</f>
        <v>0</v>
      </c>
      <c r="AE35" s="185">
        <f t="shared" si="27"/>
        <v>12.427669686645689</v>
      </c>
      <c r="AF35" s="186" t="str">
        <f t="shared" si="28"/>
        <v>-</v>
      </c>
      <c r="AG35" s="187">
        <f>IFERROR(SUMIFS('Forecasted Lights'!$F$4:$F$87,'Forecasted Lights'!$A$4:$A$87,$B35),"N/A")</f>
        <v>0</v>
      </c>
      <c r="AH35" s="188">
        <f t="shared" si="29"/>
        <v>0</v>
      </c>
      <c r="AI35" s="188">
        <f t="shared" si="30"/>
        <v>0</v>
      </c>
      <c r="AJ35" s="188">
        <f t="shared" si="31"/>
        <v>0</v>
      </c>
      <c r="AK35" s="189">
        <f t="shared" si="32"/>
        <v>0</v>
      </c>
      <c r="AL35" t="s">
        <v>196</v>
      </c>
    </row>
    <row r="36" spans="1:38" ht="15.75" thickBot="1" x14ac:dyDescent="0.3">
      <c r="A36" s="241" t="s">
        <v>195</v>
      </c>
      <c r="B36" s="242" t="s">
        <v>558</v>
      </c>
      <c r="C36" s="242" t="s">
        <v>198</v>
      </c>
      <c r="D36" s="243" t="str">
        <f>IF($C36="OH",HLOOKUP($B36,'Overhead Lights'!$C$5:$K$57,'Overhead Lights'!$A$10,FALSE),HLOOKUP($B36,'Underground Lights'!$C$4:$Q$80,'Underground Lights'!$A$9,FALSE))</f>
        <v>LED</v>
      </c>
      <c r="E36" s="190" t="s">
        <v>196</v>
      </c>
      <c r="F36" s="190">
        <f>IF($C36="OH",HLOOKUP($B36,'Overhead Lights'!$C$5:$K$57,'Overhead Lights'!$A$8,FALSE),HLOOKUP($B36,'Underground Lights'!$C$4:$Q$80,'Underground Lights'!$A$7,FALSE))</f>
        <v>0</v>
      </c>
      <c r="G36" s="190" t="str">
        <f>IF($C36="OH",HLOOKUP($B36,'Overhead Lights'!$C$5:$K$57,'Overhead Lights'!$A$11,FALSE),HLOOKUP($B36,'Underground Lights'!$C$4:$Q$80,'Underground Lights'!$A$10,FALSE))</f>
        <v>1000w</v>
      </c>
      <c r="H36" s="190">
        <f>IF($C36="OH",HLOOKUP($B36,'Overhead Lights'!$C$5:$K$57,'Overhead Lights'!$A$12,FALSE),HLOOKUP($B36,'Underground Lights'!$C$4:$Q$80,'Underground Lights'!$A$11,FALSE))</f>
        <v>297</v>
      </c>
      <c r="I36" s="191" t="str">
        <f>IF($C36="OH",HLOOKUP($B36,'Overhead Lights'!$C$5:$K$57,'Overhead Lights'!$A$9,FALSE),HLOOKUP($B36,'Underground Lights'!$C$4:$Q$80,'Underground Lights'!$A$8,FALSE))</f>
        <v>35000-50000</v>
      </c>
      <c r="J36" s="232">
        <f>IFERROR(IF(C36="UG",VLOOKUP($AL36,'Maintenance &amp; NBV'!$B$43:$K$47,9,FALSE),0),0)</f>
        <v>0</v>
      </c>
      <c r="K36" s="192">
        <f>IF($C36="UG",HLOOKUP($B36,'Underground Lights'!$C$4:$S$80,67,FALSE),HLOOKUP($B36,'Overhead Lights'!$C$5:$K$57,47,FALSE))</f>
        <v>917.82736650000004</v>
      </c>
      <c r="L36" s="214">
        <f t="shared" si="0"/>
        <v>917.82736650000004</v>
      </c>
      <c r="M36" s="294" t="s">
        <v>492</v>
      </c>
      <c r="N36" s="295" t="s">
        <v>503</v>
      </c>
      <c r="O36" s="164">
        <f t="shared" si="1"/>
        <v>0</v>
      </c>
      <c r="P36" s="164">
        <f t="shared" si="2"/>
        <v>139.19909050328098</v>
      </c>
      <c r="Q36" s="214">
        <f t="shared" si="3"/>
        <v>139.19909050328098</v>
      </c>
      <c r="R36" s="182">
        <f>IF($C36="OH",HLOOKUP($B36,'Overhead Lights'!$C$5:$K$57,52,FALSE),HLOOKUP($B36,'Underground Lights'!$C$4:$Q$84,79,FALSE))</f>
        <v>5.0519597889028978</v>
      </c>
      <c r="S36" s="286">
        <f t="shared" si="4"/>
        <v>5.0519597889028978</v>
      </c>
      <c r="T36" s="193">
        <f t="shared" si="5"/>
        <v>43.124400000000001</v>
      </c>
      <c r="U36" s="193">
        <f t="shared" si="6"/>
        <v>2.4037199999999999</v>
      </c>
      <c r="V36" s="193">
        <f t="shared" si="7"/>
        <v>0.97811999999999999</v>
      </c>
      <c r="W36" s="193">
        <f t="shared" si="8"/>
        <v>0</v>
      </c>
      <c r="X36" s="194">
        <f t="shared" si="9"/>
        <v>18.996460857681992</v>
      </c>
      <c r="Y36" s="209">
        <f t="shared" si="25"/>
        <v>18.57546420860675</v>
      </c>
      <c r="Z36" s="194">
        <f t="shared" si="10"/>
        <v>0</v>
      </c>
      <c r="AA36" s="210">
        <f t="shared" si="24"/>
        <v>0</v>
      </c>
      <c r="AB36" s="207">
        <f t="shared" si="26"/>
        <v>18.57546420860675</v>
      </c>
      <c r="AC36" s="195">
        <f t="shared" si="11"/>
        <v>18.996460857681992</v>
      </c>
      <c r="AD36" s="196">
        <f>IF($C36="OH",HLOOKUP($B36,'Overhead Lights'!$C$5:$K$57,'Overhead Lights'!$A$13,FALSE),HLOOKUP($B36,'Underground Lights'!$C$4:$Q$80,'Underground Lights'!$A$12,FALSE))</f>
        <v>0</v>
      </c>
      <c r="AE36" s="197">
        <f t="shared" si="27"/>
        <v>18.996460857681992</v>
      </c>
      <c r="AF36" s="198" t="str">
        <f t="shared" si="28"/>
        <v>-</v>
      </c>
      <c r="AG36" s="199">
        <f>IFERROR(SUMIFS('Forecasted Lights'!$F$4:$F$87,'Forecasted Lights'!$A$4:$A$87,$B36),"N/A")</f>
        <v>0</v>
      </c>
      <c r="AH36" s="200">
        <f t="shared" si="29"/>
        <v>0</v>
      </c>
      <c r="AI36" s="200">
        <f t="shared" si="30"/>
        <v>0</v>
      </c>
      <c r="AJ36" s="200">
        <f t="shared" si="31"/>
        <v>0</v>
      </c>
      <c r="AK36" s="201">
        <f t="shared" si="32"/>
        <v>0</v>
      </c>
      <c r="AL36" t="s">
        <v>196</v>
      </c>
    </row>
    <row r="37" spans="1:38" x14ac:dyDescent="0.25">
      <c r="A37" s="244"/>
      <c r="B37" s="245" t="s">
        <v>550</v>
      </c>
      <c r="C37" s="245" t="s">
        <v>492</v>
      </c>
      <c r="D37" s="246" t="s">
        <v>492</v>
      </c>
      <c r="E37" s="247" t="s">
        <v>506</v>
      </c>
      <c r="F37" s="247"/>
      <c r="G37" s="247"/>
      <c r="H37" s="247"/>
      <c r="I37" s="248"/>
      <c r="J37" s="281">
        <f>J26</f>
        <v>1006.4803687195423</v>
      </c>
      <c r="K37" s="248"/>
      <c r="L37" s="216">
        <f>K37+J37</f>
        <v>1006.4803687195423</v>
      </c>
      <c r="M37" s="292" t="s">
        <v>492</v>
      </c>
      <c r="N37" s="292" t="s">
        <v>492</v>
      </c>
      <c r="O37" s="163">
        <f t="shared" si="1"/>
        <v>171.76224817349288</v>
      </c>
      <c r="P37" s="163">
        <f t="shared" si="2"/>
        <v>0</v>
      </c>
      <c r="Q37" s="206">
        <f t="shared" si="3"/>
        <v>171.76224817349288</v>
      </c>
      <c r="R37" s="260">
        <f>R36</f>
        <v>5.0519597889028978</v>
      </c>
      <c r="S37" s="216">
        <f t="shared" si="4"/>
        <v>5.0519597889028978</v>
      </c>
      <c r="T37" s="259">
        <f t="shared" si="5"/>
        <v>0</v>
      </c>
      <c r="U37" s="259">
        <f t="shared" si="6"/>
        <v>0</v>
      </c>
      <c r="V37" s="259">
        <f t="shared" si="7"/>
        <v>0</v>
      </c>
      <c r="W37" s="259">
        <f t="shared" si="8"/>
        <v>0</v>
      </c>
      <c r="X37" s="260">
        <f t="shared" si="9"/>
        <v>14.734517330199649</v>
      </c>
      <c r="Y37" s="260"/>
      <c r="Z37" s="288">
        <f t="shared" si="10"/>
        <v>0</v>
      </c>
      <c r="AA37" s="260"/>
      <c r="AB37" s="260"/>
      <c r="AC37" s="202">
        <f t="shared" si="11"/>
        <v>14.734517330199649</v>
      </c>
      <c r="AD37" s="261"/>
      <c r="AE37" s="262"/>
      <c r="AF37" s="263"/>
      <c r="AG37" s="264"/>
      <c r="AH37" s="265"/>
      <c r="AI37" s="265"/>
      <c r="AJ37" s="265"/>
      <c r="AK37" s="266"/>
    </row>
    <row r="38" spans="1:38" x14ac:dyDescent="0.25">
      <c r="A38" s="249"/>
      <c r="B38" s="250" t="s">
        <v>547</v>
      </c>
      <c r="C38" s="250" t="s">
        <v>492</v>
      </c>
      <c r="D38" s="251" t="s">
        <v>492</v>
      </c>
      <c r="E38" s="252" t="s">
        <v>508</v>
      </c>
      <c r="F38" s="252"/>
      <c r="G38" s="252"/>
      <c r="H38" s="252"/>
      <c r="I38" s="253"/>
      <c r="J38" s="224">
        <f>J27</f>
        <v>1020.7659234205462</v>
      </c>
      <c r="K38" s="253"/>
      <c r="L38" s="217">
        <f t="shared" ref="L38:L41" si="33">K38+J38</f>
        <v>1020.7659234205462</v>
      </c>
      <c r="M38" s="292" t="s">
        <v>492</v>
      </c>
      <c r="N38" s="292" t="s">
        <v>492</v>
      </c>
      <c r="O38" s="163">
        <f t="shared" si="1"/>
        <v>174.20016854244304</v>
      </c>
      <c r="P38" s="163">
        <f t="shared" si="2"/>
        <v>0</v>
      </c>
      <c r="Q38" s="206">
        <f t="shared" si="3"/>
        <v>174.20016854244304</v>
      </c>
      <c r="R38" s="206">
        <f t="shared" ref="R38:R41" si="34">R37</f>
        <v>5.0519597889028978</v>
      </c>
      <c r="S38" s="217">
        <f t="shared" si="4"/>
        <v>5.0519597889028978</v>
      </c>
      <c r="T38" s="267">
        <f t="shared" si="5"/>
        <v>0</v>
      </c>
      <c r="U38" s="267">
        <f t="shared" si="6"/>
        <v>0</v>
      </c>
      <c r="V38" s="267">
        <f t="shared" si="7"/>
        <v>0</v>
      </c>
      <c r="W38" s="267">
        <f t="shared" si="8"/>
        <v>0</v>
      </c>
      <c r="X38" s="206">
        <f t="shared" si="9"/>
        <v>14.937677360945495</v>
      </c>
      <c r="Y38" s="206"/>
      <c r="Z38" s="288">
        <f t="shared" ref="Z38:Z41" si="35">X38*$T$5</f>
        <v>0</v>
      </c>
      <c r="AA38" s="206"/>
      <c r="AB38" s="206"/>
      <c r="AC38" s="203">
        <f t="shared" si="11"/>
        <v>14.937677360945495</v>
      </c>
      <c r="AD38" s="268"/>
      <c r="AE38" s="269"/>
      <c r="AF38" s="270"/>
      <c r="AG38" s="271"/>
      <c r="AH38" s="272"/>
      <c r="AI38" s="272"/>
      <c r="AJ38" s="272"/>
      <c r="AK38" s="273"/>
    </row>
    <row r="39" spans="1:38" x14ac:dyDescent="0.25">
      <c r="A39" s="249"/>
      <c r="B39" s="250" t="s">
        <v>549</v>
      </c>
      <c r="C39" s="250" t="s">
        <v>492</v>
      </c>
      <c r="D39" s="251" t="s">
        <v>492</v>
      </c>
      <c r="E39" s="252" t="s">
        <v>509</v>
      </c>
      <c r="F39" s="252"/>
      <c r="G39" s="252"/>
      <c r="H39" s="252"/>
      <c r="I39" s="253"/>
      <c r="J39" s="215">
        <f>J29</f>
        <v>1512.3982942283665</v>
      </c>
      <c r="K39" s="253"/>
      <c r="L39" s="217">
        <f t="shared" si="33"/>
        <v>1512.3982942283665</v>
      </c>
      <c r="M39" s="292" t="s">
        <v>492</v>
      </c>
      <c r="N39" s="292" t="s">
        <v>492</v>
      </c>
      <c r="O39" s="163">
        <f t="shared" si="1"/>
        <v>258.10034574336163</v>
      </c>
      <c r="P39" s="163">
        <f t="shared" si="2"/>
        <v>0</v>
      </c>
      <c r="Q39" s="206">
        <f t="shared" si="3"/>
        <v>258.10034574336163</v>
      </c>
      <c r="R39" s="206">
        <f t="shared" si="34"/>
        <v>5.0519597889028978</v>
      </c>
      <c r="S39" s="217">
        <f t="shared" si="4"/>
        <v>5.0519597889028978</v>
      </c>
      <c r="T39" s="267">
        <f t="shared" si="5"/>
        <v>0</v>
      </c>
      <c r="U39" s="267">
        <f t="shared" si="6"/>
        <v>0</v>
      </c>
      <c r="V39" s="267">
        <f t="shared" si="7"/>
        <v>0</v>
      </c>
      <c r="W39" s="267">
        <f t="shared" si="8"/>
        <v>0</v>
      </c>
      <c r="X39" s="206">
        <f t="shared" si="9"/>
        <v>21.929358794355377</v>
      </c>
      <c r="Y39" s="206"/>
      <c r="Z39" s="288">
        <f t="shared" si="35"/>
        <v>0</v>
      </c>
      <c r="AA39" s="206"/>
      <c r="AB39" s="206"/>
      <c r="AC39" s="203">
        <f t="shared" si="11"/>
        <v>21.929358794355377</v>
      </c>
      <c r="AD39" s="268"/>
      <c r="AE39" s="269"/>
      <c r="AF39" s="270"/>
      <c r="AG39" s="271"/>
      <c r="AH39" s="272"/>
      <c r="AI39" s="272"/>
      <c r="AJ39" s="272"/>
      <c r="AK39" s="273"/>
    </row>
    <row r="40" spans="1:38" x14ac:dyDescent="0.25">
      <c r="A40" s="249"/>
      <c r="B40" s="250" t="s">
        <v>548</v>
      </c>
      <c r="C40" s="250" t="s">
        <v>492</v>
      </c>
      <c r="D40" s="251" t="s">
        <v>492</v>
      </c>
      <c r="E40" s="252" t="s">
        <v>497</v>
      </c>
      <c r="F40" s="252"/>
      <c r="G40" s="252"/>
      <c r="H40" s="252"/>
      <c r="I40" s="253"/>
      <c r="J40" s="223">
        <f>J32</f>
        <v>2149.6578198722855</v>
      </c>
      <c r="K40" s="253"/>
      <c r="L40" s="217">
        <f t="shared" si="33"/>
        <v>2149.6578198722855</v>
      </c>
      <c r="M40" s="292" t="s">
        <v>492</v>
      </c>
      <c r="N40" s="292" t="s">
        <v>492</v>
      </c>
      <c r="O40" s="163">
        <f t="shared" si="1"/>
        <v>366.8527190597195</v>
      </c>
      <c r="P40" s="163">
        <f t="shared" si="2"/>
        <v>0</v>
      </c>
      <c r="Q40" s="206">
        <f t="shared" si="3"/>
        <v>366.8527190597195</v>
      </c>
      <c r="R40" s="206">
        <f t="shared" si="34"/>
        <v>5.0519597889028978</v>
      </c>
      <c r="S40" s="217">
        <f t="shared" si="4"/>
        <v>5.0519597889028978</v>
      </c>
      <c r="T40" s="267">
        <f t="shared" si="5"/>
        <v>0</v>
      </c>
      <c r="U40" s="267">
        <f t="shared" si="6"/>
        <v>0</v>
      </c>
      <c r="V40" s="267">
        <f t="shared" si="7"/>
        <v>0</v>
      </c>
      <c r="W40" s="267">
        <f t="shared" si="8"/>
        <v>0</v>
      </c>
      <c r="X40" s="206">
        <f t="shared" si="9"/>
        <v>30.992056570718532</v>
      </c>
      <c r="Y40" s="206"/>
      <c r="Z40" s="288">
        <f t="shared" si="35"/>
        <v>0</v>
      </c>
      <c r="AA40" s="206"/>
      <c r="AB40" s="206"/>
      <c r="AC40" s="203">
        <f t="shared" si="11"/>
        <v>30.992056570718532</v>
      </c>
      <c r="AD40" s="268"/>
      <c r="AE40" s="269"/>
      <c r="AF40" s="270"/>
      <c r="AG40" s="271"/>
      <c r="AH40" s="272"/>
      <c r="AI40" s="272"/>
      <c r="AJ40" s="272"/>
      <c r="AK40" s="273"/>
    </row>
    <row r="41" spans="1:38" ht="15.75" thickBot="1" x14ac:dyDescent="0.3">
      <c r="A41" s="254"/>
      <c r="B41" s="255" t="s">
        <v>551</v>
      </c>
      <c r="C41" s="255" t="s">
        <v>492</v>
      </c>
      <c r="D41" s="256" t="s">
        <v>492</v>
      </c>
      <c r="E41" s="257" t="s">
        <v>507</v>
      </c>
      <c r="F41" s="257"/>
      <c r="G41" s="257"/>
      <c r="H41" s="257"/>
      <c r="I41" s="258"/>
      <c r="J41" s="282">
        <f>'Maintenance &amp; NBV'!J44</f>
        <v>1412.1843668669517</v>
      </c>
      <c r="K41" s="258"/>
      <c r="L41" s="218">
        <f t="shared" si="33"/>
        <v>1412.1843668669517</v>
      </c>
      <c r="M41" s="294" t="s">
        <v>492</v>
      </c>
      <c r="N41" s="295" t="s">
        <v>492</v>
      </c>
      <c r="O41" s="164">
        <f t="shared" si="1"/>
        <v>240.99820446286128</v>
      </c>
      <c r="P41" s="164">
        <f t="shared" si="2"/>
        <v>0</v>
      </c>
      <c r="Q41" s="207">
        <f t="shared" si="3"/>
        <v>240.99820446286128</v>
      </c>
      <c r="R41" s="207">
        <f t="shared" si="34"/>
        <v>5.0519597889028978</v>
      </c>
      <c r="S41" s="218">
        <f t="shared" si="4"/>
        <v>5.0519597889028978</v>
      </c>
      <c r="T41" s="274">
        <f t="shared" si="5"/>
        <v>0</v>
      </c>
      <c r="U41" s="274">
        <f t="shared" si="6"/>
        <v>0</v>
      </c>
      <c r="V41" s="274">
        <f t="shared" si="7"/>
        <v>0</v>
      </c>
      <c r="W41" s="274">
        <f t="shared" si="8"/>
        <v>0</v>
      </c>
      <c r="X41" s="207">
        <f t="shared" si="9"/>
        <v>20.504180354313682</v>
      </c>
      <c r="Y41" s="207"/>
      <c r="Z41" s="289">
        <f t="shared" si="35"/>
        <v>0</v>
      </c>
      <c r="AA41" s="207"/>
      <c r="AB41" s="207"/>
      <c r="AC41" s="204">
        <f t="shared" si="11"/>
        <v>20.504180354313682</v>
      </c>
      <c r="AD41" s="275"/>
      <c r="AE41" s="276"/>
      <c r="AF41" s="277"/>
      <c r="AG41" s="278"/>
      <c r="AH41" s="279"/>
      <c r="AI41" s="279"/>
      <c r="AJ41" s="279"/>
      <c r="AK41" s="280"/>
    </row>
    <row r="42" spans="1:38" x14ac:dyDescent="0.25">
      <c r="A42" s="234"/>
      <c r="B42" s="234"/>
    </row>
    <row r="43" spans="1:38" x14ac:dyDescent="0.25">
      <c r="AG43" s="146"/>
      <c r="AH43" s="147"/>
      <c r="AI43" s="147"/>
      <c r="AJ43" s="147"/>
      <c r="AK43" s="147"/>
    </row>
    <row r="45" spans="1:38" x14ac:dyDescent="0.25">
      <c r="AG45" s="149"/>
      <c r="AH45" s="162"/>
      <c r="AI45" s="33"/>
      <c r="AJ45" s="162"/>
      <c r="AK45" s="33"/>
    </row>
    <row r="46" spans="1:38" x14ac:dyDescent="0.25">
      <c r="AG46" s="149"/>
      <c r="AH46" s="161"/>
      <c r="AI46" s="148"/>
      <c r="AJ46" s="161"/>
      <c r="AK46" s="148"/>
    </row>
    <row r="47" spans="1:38" x14ac:dyDescent="0.25">
      <c r="AG47" s="43"/>
    </row>
  </sheetData>
  <sortState ref="A12:AB66">
    <sortCondition ref="D12:D66"/>
    <sortCondition ref="C12:C66"/>
  </sortState>
  <conditionalFormatting sqref="AF13:AF41">
    <cfRule type="colorScale" priority="3">
      <colorScale>
        <cfvo type="num" val="-1"/>
        <cfvo type="num" val="0"/>
        <cfvo type="num" val="1"/>
        <color rgb="FF63BE7B"/>
        <color rgb="FFFCFCFF"/>
        <color rgb="FFF8696B"/>
      </colorScale>
    </cfRule>
  </conditionalFormatting>
  <conditionalFormatting sqref="M13:N41">
    <cfRule type="expression" dxfId="3" priority="1">
      <formula>MOD(COLUMN(),2)=0</formula>
    </cfRule>
  </conditionalFormatting>
  <dataValidations disablePrompts="1" count="1">
    <dataValidation type="list" allowBlank="1" showInputMessage="1" showErrorMessage="1" sqref="M13:N41">
      <formula1>"25-Year, 20-Year, 15-Year, Poles"</formula1>
    </dataValidation>
  </dataValidations>
  <pageMargins left="1" right="1" top="1" bottom="1.75" header="0.5" footer="0.5"/>
  <pageSetup scale="62" fitToWidth="3" orientation="landscape" r:id="rId1"/>
  <headerFooter scaleWithDoc="0">
    <oddFooter xml:space="preserve">&amp;R&amp;"Times New Roman,Bold"&amp;12 Case No. 2018-00295
Attachment to Response to PSC-2 Question No. 29a-b
Page &amp;P of &amp;N
Seelye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zoomScale="80" zoomScaleNormal="80" workbookViewId="0"/>
  </sheetViews>
  <sheetFormatPr defaultRowHeight="15" x14ac:dyDescent="0.25"/>
  <cols>
    <col min="1" max="1" width="3.42578125" bestFit="1" customWidth="1"/>
    <col min="2" max="2" width="27.85546875" customWidth="1"/>
    <col min="3" max="3" width="13.85546875" bestFit="1" customWidth="1"/>
    <col min="4" max="11" width="12.7109375" bestFit="1" customWidth="1"/>
    <col min="12" max="14" width="12.85546875" customWidth="1"/>
  </cols>
  <sheetData>
    <row r="3" spans="1:14" x14ac:dyDescent="0.25">
      <c r="C3" s="332" t="s">
        <v>38</v>
      </c>
      <c r="D3" s="333"/>
      <c r="E3" s="333"/>
      <c r="F3" s="333"/>
      <c r="G3" s="333"/>
      <c r="H3" s="333"/>
      <c r="I3" s="333"/>
      <c r="J3" s="333"/>
      <c r="K3" s="334"/>
      <c r="L3" s="31"/>
      <c r="M3" s="31"/>
      <c r="N3" s="31"/>
    </row>
    <row r="4" spans="1:14" s="11" customFormat="1" x14ac:dyDescent="0.25">
      <c r="C4" s="140"/>
      <c r="D4" s="140"/>
      <c r="E4" s="140"/>
      <c r="F4" s="140"/>
      <c r="G4" s="140"/>
      <c r="H4" s="140"/>
      <c r="I4" s="140"/>
      <c r="J4" s="140"/>
      <c r="K4" s="140"/>
      <c r="L4" s="31"/>
      <c r="M4" s="31"/>
      <c r="N4" s="31"/>
    </row>
    <row r="5" spans="1:14" x14ac:dyDescent="0.25">
      <c r="A5" s="141">
        <v>1</v>
      </c>
      <c r="B5" s="1" t="s">
        <v>193</v>
      </c>
      <c r="C5">
        <v>493</v>
      </c>
      <c r="D5" s="5" t="s">
        <v>536</v>
      </c>
      <c r="E5" s="5" t="s">
        <v>537</v>
      </c>
      <c r="F5" s="5" t="s">
        <v>538</v>
      </c>
      <c r="G5" s="5" t="s">
        <v>539</v>
      </c>
      <c r="H5" s="5" t="s">
        <v>535</v>
      </c>
      <c r="I5" s="5">
        <v>490</v>
      </c>
      <c r="J5" s="5">
        <v>491</v>
      </c>
      <c r="K5" s="5">
        <v>492</v>
      </c>
      <c r="L5" s="5"/>
      <c r="N5" s="5"/>
    </row>
    <row r="6" spans="1:14" x14ac:dyDescent="0.25">
      <c r="A6" s="141">
        <f>A5+1</f>
        <v>2</v>
      </c>
      <c r="B6" s="1" t="s">
        <v>277</v>
      </c>
      <c r="C6" s="5" t="s">
        <v>370</v>
      </c>
      <c r="D6" s="5" t="s">
        <v>370</v>
      </c>
      <c r="E6" s="5" t="s">
        <v>370</v>
      </c>
      <c r="F6" s="5" t="s">
        <v>370</v>
      </c>
      <c r="G6" s="5" t="s">
        <v>370</v>
      </c>
      <c r="H6" s="5" t="s">
        <v>370</v>
      </c>
      <c r="I6" s="5" t="s">
        <v>370</v>
      </c>
      <c r="J6" s="5" t="s">
        <v>370</v>
      </c>
      <c r="K6" s="5" t="s">
        <v>370</v>
      </c>
      <c r="L6" s="5"/>
      <c r="N6" s="5"/>
    </row>
    <row r="7" spans="1:14" x14ac:dyDescent="0.25">
      <c r="A7" s="141">
        <f t="shared" ref="A7:A57" si="0">A6+1</f>
        <v>3</v>
      </c>
      <c r="B7" s="1" t="s">
        <v>15</v>
      </c>
      <c r="C7" s="5" t="s">
        <v>16</v>
      </c>
      <c r="D7" s="5" t="s">
        <v>17</v>
      </c>
      <c r="E7" s="5" t="s">
        <v>17</v>
      </c>
      <c r="F7" s="5" t="s">
        <v>17</v>
      </c>
      <c r="G7" s="5" t="s">
        <v>17</v>
      </c>
      <c r="H7" s="5" t="s">
        <v>29</v>
      </c>
      <c r="I7" s="5" t="s">
        <v>29</v>
      </c>
      <c r="J7" s="5" t="s">
        <v>29</v>
      </c>
      <c r="K7" s="5" t="s">
        <v>29</v>
      </c>
      <c r="L7" s="5"/>
      <c r="N7" s="5"/>
    </row>
    <row r="8" spans="1:14" x14ac:dyDescent="0.25">
      <c r="A8" s="141">
        <f t="shared" si="0"/>
        <v>4</v>
      </c>
      <c r="B8" s="1" t="s">
        <v>279</v>
      </c>
      <c r="C8" s="5" t="s">
        <v>372</v>
      </c>
      <c r="D8" s="5" t="s">
        <v>372</v>
      </c>
      <c r="E8" s="5" t="s">
        <v>372</v>
      </c>
      <c r="F8" s="5" t="s">
        <v>372</v>
      </c>
      <c r="G8" s="5" t="s">
        <v>372</v>
      </c>
      <c r="H8" s="5" t="s">
        <v>372</v>
      </c>
      <c r="I8" s="5" t="s">
        <v>372</v>
      </c>
      <c r="J8" s="5" t="s">
        <v>372</v>
      </c>
      <c r="K8" s="5" t="s">
        <v>372</v>
      </c>
      <c r="L8" s="5"/>
      <c r="N8" s="5"/>
    </row>
    <row r="9" spans="1:14" x14ac:dyDescent="0.25">
      <c r="A9" s="141">
        <f t="shared" si="0"/>
        <v>5</v>
      </c>
      <c r="B9" s="1" t="s">
        <v>19</v>
      </c>
      <c r="C9" s="5" t="s">
        <v>18</v>
      </c>
      <c r="D9" s="5" t="s">
        <v>18</v>
      </c>
      <c r="E9" s="5" t="s">
        <v>23</v>
      </c>
      <c r="F9" s="5" t="s">
        <v>24</v>
      </c>
      <c r="G9" s="5" t="s">
        <v>25</v>
      </c>
      <c r="H9" s="5" t="s">
        <v>33</v>
      </c>
      <c r="I9" s="5" t="s">
        <v>34</v>
      </c>
      <c r="J9" s="5" t="s">
        <v>35</v>
      </c>
      <c r="K9" s="5" t="s">
        <v>36</v>
      </c>
      <c r="L9" s="5"/>
      <c r="N9" s="5"/>
    </row>
    <row r="10" spans="1:14" x14ac:dyDescent="0.25">
      <c r="A10" s="141">
        <f t="shared" si="0"/>
        <v>6</v>
      </c>
      <c r="B10" s="1" t="s">
        <v>219</v>
      </c>
      <c r="C10" s="5" t="s">
        <v>220</v>
      </c>
      <c r="D10" s="5" t="s">
        <v>220</v>
      </c>
      <c r="E10" s="5" t="s">
        <v>220</v>
      </c>
      <c r="F10" s="5" t="s">
        <v>220</v>
      </c>
      <c r="G10" s="5" t="s">
        <v>220</v>
      </c>
      <c r="H10" s="5" t="s">
        <v>220</v>
      </c>
      <c r="I10" s="5" t="s">
        <v>220</v>
      </c>
      <c r="J10" s="5" t="s">
        <v>220</v>
      </c>
      <c r="K10" s="5" t="s">
        <v>220</v>
      </c>
      <c r="L10" s="5"/>
      <c r="N10" s="5"/>
    </row>
    <row r="11" spans="1:14" x14ac:dyDescent="0.25">
      <c r="A11" s="141">
        <f t="shared" si="0"/>
        <v>7</v>
      </c>
      <c r="B11" s="1" t="s">
        <v>20</v>
      </c>
      <c r="C11" s="5" t="s">
        <v>86</v>
      </c>
      <c r="D11" s="5" t="s">
        <v>22</v>
      </c>
      <c r="E11" s="5" t="s">
        <v>26</v>
      </c>
      <c r="F11" s="5" t="s">
        <v>27</v>
      </c>
      <c r="G11" s="5" t="s">
        <v>28</v>
      </c>
      <c r="H11" s="5" t="s">
        <v>30</v>
      </c>
      <c r="I11" s="5" t="s">
        <v>31</v>
      </c>
      <c r="J11" s="5" t="s">
        <v>32</v>
      </c>
      <c r="K11" s="5" t="s">
        <v>27</v>
      </c>
      <c r="L11" s="5"/>
      <c r="N11" s="5"/>
    </row>
    <row r="12" spans="1:14" x14ac:dyDescent="0.25">
      <c r="A12" s="141">
        <f t="shared" si="0"/>
        <v>8</v>
      </c>
      <c r="B12" s="1" t="s">
        <v>21</v>
      </c>
      <c r="C12" s="2">
        <v>48</v>
      </c>
      <c r="D12" s="143">
        <v>30</v>
      </c>
      <c r="E12" s="143">
        <v>96</v>
      </c>
      <c r="F12" s="143">
        <v>175</v>
      </c>
      <c r="G12" s="143">
        <v>297</v>
      </c>
      <c r="H12" s="143">
        <v>22</v>
      </c>
      <c r="I12" s="143">
        <v>71</v>
      </c>
      <c r="J12" s="143">
        <v>122</v>
      </c>
      <c r="K12" s="143">
        <v>144</v>
      </c>
      <c r="L12" s="5"/>
      <c r="N12" s="5"/>
    </row>
    <row r="13" spans="1:14" x14ac:dyDescent="0.25">
      <c r="A13" s="141">
        <f t="shared" si="0"/>
        <v>9</v>
      </c>
      <c r="B13" s="1" t="s">
        <v>375</v>
      </c>
      <c r="C13" s="144">
        <v>11.53</v>
      </c>
      <c r="D13" s="145" t="s">
        <v>373</v>
      </c>
      <c r="E13" s="145" t="s">
        <v>373</v>
      </c>
      <c r="F13" s="145" t="s">
        <v>373</v>
      </c>
      <c r="G13" s="145" t="s">
        <v>373</v>
      </c>
      <c r="H13" s="145" t="s">
        <v>373</v>
      </c>
      <c r="I13" s="145">
        <v>16.329999999999998</v>
      </c>
      <c r="J13" s="346">
        <v>19.34</v>
      </c>
      <c r="K13" s="145">
        <v>27.49</v>
      </c>
      <c r="L13" s="5"/>
      <c r="N13" s="5"/>
    </row>
    <row r="14" spans="1:14" x14ac:dyDescent="0.25">
      <c r="A14" s="141">
        <f t="shared" si="0"/>
        <v>10</v>
      </c>
      <c r="B14" s="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25">
      <c r="A15" s="141">
        <f t="shared" si="0"/>
        <v>11</v>
      </c>
      <c r="B15" s="7" t="s">
        <v>48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5">
      <c r="A16" s="141">
        <f t="shared" si="0"/>
        <v>12</v>
      </c>
      <c r="B16" s="1" t="s">
        <v>47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25">
      <c r="A17" s="141">
        <f t="shared" si="0"/>
        <v>13</v>
      </c>
      <c r="B17" s="3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25">
      <c r="A18" s="141">
        <f t="shared" si="0"/>
        <v>14</v>
      </c>
      <c r="B18" t="s">
        <v>566</v>
      </c>
      <c r="C18" s="6">
        <f>'Materials+LaborUnits'!$D$8</f>
        <v>125.4</v>
      </c>
      <c r="D18" s="6">
        <f>'Materials+LaborUnits'!$D$19</f>
        <v>363.00000000000006</v>
      </c>
      <c r="E18" s="6">
        <f>'Materials+LaborUnits'!$D$20</f>
        <v>379.50000000000006</v>
      </c>
      <c r="F18" s="6">
        <f>'Materials+LaborUnits'!$D$21</f>
        <v>412.50000000000006</v>
      </c>
      <c r="G18" s="6">
        <f>'Materials+LaborUnits'!$D$22</f>
        <v>660</v>
      </c>
      <c r="H18" s="6">
        <f>'Materials+LaborUnits'!$D$2</f>
        <v>143</v>
      </c>
      <c r="I18" s="6">
        <f>'Materials+LaborUnits'!$D$3</f>
        <v>148.5</v>
      </c>
      <c r="J18" s="6">
        <f>'Materials+LaborUnits'!$D$4</f>
        <v>203.50000000000003</v>
      </c>
      <c r="K18" s="6">
        <f>'Materials+LaborUnits'!$D$5</f>
        <v>302.5</v>
      </c>
      <c r="L18" s="6"/>
      <c r="M18" s="6"/>
      <c r="N18" s="6"/>
    </row>
    <row r="19" spans="1:14" x14ac:dyDescent="0.25">
      <c r="A19" s="141">
        <f t="shared" si="0"/>
        <v>15</v>
      </c>
      <c r="B19" t="s">
        <v>11</v>
      </c>
      <c r="C19" s="6" t="s">
        <v>37</v>
      </c>
      <c r="D19" s="6" t="s">
        <v>37</v>
      </c>
      <c r="E19" s="6" t="s">
        <v>37</v>
      </c>
      <c r="F19" s="6" t="s">
        <v>37</v>
      </c>
      <c r="G19" s="6" t="s">
        <v>37</v>
      </c>
      <c r="H19" s="6" t="s">
        <v>37</v>
      </c>
      <c r="I19" s="6" t="s">
        <v>37</v>
      </c>
      <c r="J19" s="6" t="s">
        <v>37</v>
      </c>
      <c r="K19" s="6" t="s">
        <v>37</v>
      </c>
      <c r="L19" s="6"/>
      <c r="M19" s="6"/>
      <c r="N19" s="6"/>
    </row>
    <row r="20" spans="1:14" x14ac:dyDescent="0.25">
      <c r="A20" s="141">
        <f t="shared" si="0"/>
        <v>16</v>
      </c>
      <c r="B20" t="s">
        <v>150</v>
      </c>
      <c r="C20" s="6" t="s">
        <v>37</v>
      </c>
      <c r="D20" s="6" t="s">
        <v>37</v>
      </c>
      <c r="E20" s="6" t="s">
        <v>37</v>
      </c>
      <c r="F20" s="6" t="s">
        <v>37</v>
      </c>
      <c r="G20" s="6" t="s">
        <v>37</v>
      </c>
      <c r="H20" s="6" t="s">
        <v>37</v>
      </c>
      <c r="I20" s="6" t="s">
        <v>37</v>
      </c>
      <c r="J20" s="6" t="s">
        <v>37</v>
      </c>
      <c r="K20" s="6" t="s">
        <v>37</v>
      </c>
      <c r="L20" s="6"/>
      <c r="M20" s="6"/>
      <c r="N20" s="6"/>
    </row>
    <row r="21" spans="1:14" x14ac:dyDescent="0.25">
      <c r="A21" s="141">
        <f t="shared" si="0"/>
        <v>17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5">
      <c r="A22" s="141">
        <f t="shared" si="0"/>
        <v>18</v>
      </c>
      <c r="B22" s="3" t="s">
        <v>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25">
      <c r="A23" s="141">
        <f t="shared" si="0"/>
        <v>19</v>
      </c>
      <c r="B23" t="s">
        <v>567</v>
      </c>
      <c r="C23" s="6" t="s">
        <v>37</v>
      </c>
      <c r="D23" s="6">
        <f>Materials!$D$46</f>
        <v>27.99</v>
      </c>
      <c r="E23" s="6">
        <f>Materials!$D$46</f>
        <v>27.99</v>
      </c>
      <c r="F23" s="6">
        <f>Materials!$D$46</f>
        <v>27.99</v>
      </c>
      <c r="G23" s="6">
        <f>Materials!$D$46</f>
        <v>27.99</v>
      </c>
      <c r="H23" s="6">
        <f>Materials!$L$45</f>
        <v>69.074744801512281</v>
      </c>
      <c r="I23" s="6">
        <f>Materials!$L$45</f>
        <v>69.074744801512281</v>
      </c>
      <c r="J23" s="6">
        <f>Materials!$L$45</f>
        <v>69.074744801512281</v>
      </c>
      <c r="K23" s="6">
        <f>Materials!$L$45</f>
        <v>69.074744801512281</v>
      </c>
      <c r="L23" s="6"/>
      <c r="M23" s="6"/>
      <c r="N23" s="6"/>
    </row>
    <row r="24" spans="1:14" x14ac:dyDescent="0.25">
      <c r="A24" s="141">
        <f t="shared" si="0"/>
        <v>20</v>
      </c>
      <c r="B24" t="s">
        <v>568</v>
      </c>
      <c r="C24" s="6" t="s">
        <v>37</v>
      </c>
      <c r="D24" s="6" t="s">
        <v>37</v>
      </c>
      <c r="E24" s="6" t="s">
        <v>37</v>
      </c>
      <c r="F24" s="6" t="s">
        <v>37</v>
      </c>
      <c r="G24" s="6" t="s">
        <v>37</v>
      </c>
      <c r="H24" s="6">
        <f>Materials!$D$65*10</f>
        <v>3.1</v>
      </c>
      <c r="I24" s="6">
        <f>Materials!$D$65*10</f>
        <v>3.1</v>
      </c>
      <c r="J24" s="6">
        <f>Materials!$D$65*10</f>
        <v>3.1</v>
      </c>
      <c r="K24" s="6">
        <f>Materials!$D$65*10</f>
        <v>3.1</v>
      </c>
      <c r="L24" s="6"/>
      <c r="M24" s="6"/>
      <c r="N24" s="6"/>
    </row>
    <row r="25" spans="1:14" x14ac:dyDescent="0.25">
      <c r="A25" s="141">
        <f t="shared" si="0"/>
        <v>21</v>
      </c>
      <c r="B25" t="s">
        <v>43</v>
      </c>
      <c r="C25" s="6">
        <f>Materials!$D$48*2</f>
        <v>0.8</v>
      </c>
      <c r="D25" s="6">
        <f>Materials!$D$48*2</f>
        <v>0.8</v>
      </c>
      <c r="E25" s="6">
        <f>Materials!$D$48*2</f>
        <v>0.8</v>
      </c>
      <c r="F25" s="6">
        <f>Materials!$D$48*2</f>
        <v>0.8</v>
      </c>
      <c r="G25" s="6">
        <f>Materials!$D$48*2</f>
        <v>0.8</v>
      </c>
      <c r="H25" s="6">
        <f>Materials!$D$48*2</f>
        <v>0.8</v>
      </c>
      <c r="I25" s="6">
        <f>Materials!$D$48*2</f>
        <v>0.8</v>
      </c>
      <c r="J25" s="6">
        <f>Materials!$D$48*2</f>
        <v>0.8</v>
      </c>
      <c r="K25" s="6">
        <f>Materials!$D$48*2</f>
        <v>0.8</v>
      </c>
      <c r="L25" s="6"/>
      <c r="M25" s="6"/>
      <c r="N25" s="6"/>
    </row>
    <row r="26" spans="1:14" x14ac:dyDescent="0.25">
      <c r="A26" s="141">
        <f t="shared" si="0"/>
        <v>22</v>
      </c>
      <c r="B26" t="s">
        <v>40</v>
      </c>
      <c r="C26" s="6">
        <f>Materials!$D$49</f>
        <v>1.06</v>
      </c>
      <c r="D26" s="6">
        <f>Materials!$D$49</f>
        <v>1.06</v>
      </c>
      <c r="E26" s="6">
        <f>Materials!$D$49</f>
        <v>1.06</v>
      </c>
      <c r="F26" s="6">
        <f>Materials!$D$49</f>
        <v>1.06</v>
      </c>
      <c r="G26" s="6">
        <f>Materials!$D$49</f>
        <v>1.06</v>
      </c>
      <c r="H26" s="6">
        <f>Materials!$D$49</f>
        <v>1.06</v>
      </c>
      <c r="I26" s="6">
        <f>Materials!$D$49</f>
        <v>1.06</v>
      </c>
      <c r="J26" s="6">
        <f>Materials!$D$49</f>
        <v>1.06</v>
      </c>
      <c r="K26" s="6">
        <f>Materials!$D$49</f>
        <v>1.06</v>
      </c>
      <c r="L26" s="6"/>
      <c r="M26" s="6"/>
      <c r="N26" s="6"/>
    </row>
    <row r="27" spans="1:14" x14ac:dyDescent="0.25">
      <c r="A27" s="141">
        <f t="shared" si="0"/>
        <v>23</v>
      </c>
      <c r="B27" t="s">
        <v>569</v>
      </c>
      <c r="C27" s="6">
        <f>Materials!$D$50*4</f>
        <v>0.96</v>
      </c>
      <c r="D27" s="6">
        <f>Materials!$D$50*4</f>
        <v>0.96</v>
      </c>
      <c r="E27" s="6">
        <f>Materials!$D$50*4</f>
        <v>0.96</v>
      </c>
      <c r="F27" s="6">
        <f>Materials!$D$50*4</f>
        <v>0.96</v>
      </c>
      <c r="G27" s="6">
        <f>Materials!$D$50*4</f>
        <v>0.96</v>
      </c>
      <c r="H27" s="6">
        <f>Materials!$D$50*4</f>
        <v>0.96</v>
      </c>
      <c r="I27" s="6">
        <f>Materials!$D$50*4</f>
        <v>0.96</v>
      </c>
      <c r="J27" s="6">
        <f>Materials!$D$50*4</f>
        <v>0.96</v>
      </c>
      <c r="K27" s="6">
        <f>Materials!$D$50*4</f>
        <v>0.96</v>
      </c>
      <c r="L27" s="6"/>
      <c r="M27" s="6"/>
      <c r="N27" s="6"/>
    </row>
    <row r="28" spans="1:14" x14ac:dyDescent="0.25">
      <c r="A28" s="141">
        <f t="shared" si="0"/>
        <v>24</v>
      </c>
      <c r="B28" t="s">
        <v>39</v>
      </c>
      <c r="C28" s="6">
        <f>Materials!$D$51*2</f>
        <v>1.2</v>
      </c>
      <c r="D28" s="6">
        <f>Materials!$D$51*2</f>
        <v>1.2</v>
      </c>
      <c r="E28" s="6">
        <f>Materials!$D$51*2</f>
        <v>1.2</v>
      </c>
      <c r="F28" s="6">
        <f>Materials!$D$51*2</f>
        <v>1.2</v>
      </c>
      <c r="G28" s="6">
        <f>Materials!$D$51*2</f>
        <v>1.2</v>
      </c>
      <c r="H28" s="6">
        <f>Materials!$D$51*2</f>
        <v>1.2</v>
      </c>
      <c r="I28" s="6">
        <f>Materials!$D$51*2</f>
        <v>1.2</v>
      </c>
      <c r="J28" s="6">
        <f>Materials!$D$51*2</f>
        <v>1.2</v>
      </c>
      <c r="K28" s="6">
        <f>Materials!$D$51*2</f>
        <v>1.2</v>
      </c>
      <c r="L28" s="6"/>
      <c r="M28" s="6"/>
      <c r="N28" s="6"/>
    </row>
    <row r="29" spans="1:14" x14ac:dyDescent="0.25">
      <c r="A29" s="141">
        <f t="shared" si="0"/>
        <v>25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5">
      <c r="A30" s="141">
        <f t="shared" si="0"/>
        <v>26</v>
      </c>
      <c r="B30" s="3" t="s">
        <v>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x14ac:dyDescent="0.25">
      <c r="A31" s="141">
        <f t="shared" si="0"/>
        <v>27</v>
      </c>
      <c r="B31" t="s">
        <v>58</v>
      </c>
      <c r="C31" s="6">
        <f>Materials!$D$65*150</f>
        <v>46.5</v>
      </c>
      <c r="D31" s="6">
        <f>Materials!$D$65*150</f>
        <v>46.5</v>
      </c>
      <c r="E31" s="6">
        <f>Materials!$D$65*150</f>
        <v>46.5</v>
      </c>
      <c r="F31" s="6">
        <f>Materials!$D$65*150</f>
        <v>46.5</v>
      </c>
      <c r="G31" s="6">
        <f>Materials!$D$65*150</f>
        <v>46.5</v>
      </c>
      <c r="H31" s="6">
        <f>Materials!$D$65*150</f>
        <v>46.5</v>
      </c>
      <c r="I31" s="6">
        <f>Materials!$D$65*150</f>
        <v>46.5</v>
      </c>
      <c r="J31" s="6">
        <f>Materials!$D$65*150</f>
        <v>46.5</v>
      </c>
      <c r="K31" s="6">
        <f>Materials!$D$65*150</f>
        <v>46.5</v>
      </c>
      <c r="L31" s="6"/>
      <c r="M31" s="6"/>
      <c r="N31" s="6"/>
    </row>
    <row r="32" spans="1:14" x14ac:dyDescent="0.25">
      <c r="A32" s="141">
        <f t="shared" si="0"/>
        <v>28</v>
      </c>
      <c r="B32" t="s">
        <v>41</v>
      </c>
      <c r="C32" s="6">
        <f>Materials!$D$52*2</f>
        <v>6.88</v>
      </c>
      <c r="D32" s="6">
        <f>Materials!$D$52*2</f>
        <v>6.88</v>
      </c>
      <c r="E32" s="6">
        <f>Materials!$D$52*2</f>
        <v>6.88</v>
      </c>
      <c r="F32" s="6">
        <f>Materials!$D$52*2</f>
        <v>6.88</v>
      </c>
      <c r="G32" s="6">
        <f>Materials!$D$52*2</f>
        <v>6.88</v>
      </c>
      <c r="H32" s="6">
        <f>Materials!$D$52*2</f>
        <v>6.88</v>
      </c>
      <c r="I32" s="6">
        <f>Materials!$D$52*2</f>
        <v>6.88</v>
      </c>
      <c r="J32" s="6">
        <f>Materials!$D$52*2</f>
        <v>6.88</v>
      </c>
      <c r="K32" s="6">
        <f>Materials!$D$52*2</f>
        <v>6.88</v>
      </c>
      <c r="L32" s="6"/>
      <c r="M32" s="6"/>
      <c r="N32" s="6"/>
    </row>
    <row r="33" spans="1:14" x14ac:dyDescent="0.25">
      <c r="A33" s="141">
        <f t="shared" si="0"/>
        <v>29</v>
      </c>
      <c r="B33" t="s">
        <v>42</v>
      </c>
      <c r="C33" s="6">
        <f>Materials!$D$53*2</f>
        <v>1.44</v>
      </c>
      <c r="D33" s="6">
        <f>Materials!$D$53*2</f>
        <v>1.44</v>
      </c>
      <c r="E33" s="6">
        <f>Materials!$D$53*2</f>
        <v>1.44</v>
      </c>
      <c r="F33" s="6">
        <f>Materials!$D$53*2</f>
        <v>1.44</v>
      </c>
      <c r="G33" s="6">
        <f>Materials!$D$53*2</f>
        <v>1.44</v>
      </c>
      <c r="H33" s="6">
        <f>Materials!$D$53*2</f>
        <v>1.44</v>
      </c>
      <c r="I33" s="6">
        <f>Materials!$D$53*2</f>
        <v>1.44</v>
      </c>
      <c r="J33" s="6">
        <f>Materials!$D$53*2</f>
        <v>1.44</v>
      </c>
      <c r="K33" s="6">
        <f>Materials!$D$53*2</f>
        <v>1.44</v>
      </c>
      <c r="L33" s="6"/>
      <c r="M33" s="6"/>
      <c r="N33" s="6"/>
    </row>
    <row r="34" spans="1:14" x14ac:dyDescent="0.25">
      <c r="A34" s="141">
        <f t="shared" si="0"/>
        <v>30</v>
      </c>
      <c r="B34" t="s">
        <v>43</v>
      </c>
      <c r="C34" s="6">
        <f>Materials!$D$48*2</f>
        <v>0.8</v>
      </c>
      <c r="D34" s="6">
        <f>Materials!$D$48*2</f>
        <v>0.8</v>
      </c>
      <c r="E34" s="6">
        <f>Materials!$D$48*2</f>
        <v>0.8</v>
      </c>
      <c r="F34" s="6">
        <f>Materials!$D$48*2</f>
        <v>0.8</v>
      </c>
      <c r="G34" s="6">
        <f>Materials!$D$48*2</f>
        <v>0.8</v>
      </c>
      <c r="H34" s="6">
        <f>Materials!$D$48*2</f>
        <v>0.8</v>
      </c>
      <c r="I34" s="6">
        <f>Materials!$D$48*2</f>
        <v>0.8</v>
      </c>
      <c r="J34" s="6">
        <f>Materials!$D$48*2</f>
        <v>0.8</v>
      </c>
      <c r="K34" s="6">
        <f>Materials!$D$48*2</f>
        <v>0.8</v>
      </c>
      <c r="L34" s="6"/>
      <c r="M34" s="6"/>
      <c r="N34" s="6"/>
    </row>
    <row r="35" spans="1:14" x14ac:dyDescent="0.25">
      <c r="A35" s="141">
        <f t="shared" si="0"/>
        <v>31</v>
      </c>
      <c r="B35" t="s">
        <v>44</v>
      </c>
      <c r="C35" s="6">
        <f>Materials!$D$54*2</f>
        <v>3.36</v>
      </c>
      <c r="D35" s="6">
        <f>Materials!$D$54*2</f>
        <v>3.36</v>
      </c>
      <c r="E35" s="6">
        <f>Materials!$D$54*2</f>
        <v>3.36</v>
      </c>
      <c r="F35" s="6">
        <f>Materials!$D$54*2</f>
        <v>3.36</v>
      </c>
      <c r="G35" s="6">
        <f>Materials!$D$54*2</f>
        <v>3.36</v>
      </c>
      <c r="H35" s="6">
        <f>Materials!$D$54*2</f>
        <v>3.36</v>
      </c>
      <c r="I35" s="6">
        <f>Materials!$D$54*2</f>
        <v>3.36</v>
      </c>
      <c r="J35" s="6">
        <f>Materials!$D$54*2</f>
        <v>3.36</v>
      </c>
      <c r="K35" s="6">
        <f>Materials!$D$54*2</f>
        <v>3.36</v>
      </c>
      <c r="L35" s="6"/>
      <c r="M35" s="6"/>
      <c r="N35" s="6"/>
    </row>
    <row r="36" spans="1:14" x14ac:dyDescent="0.25">
      <c r="A36" s="141">
        <f t="shared" si="0"/>
        <v>32</v>
      </c>
      <c r="B36" t="s">
        <v>40</v>
      </c>
      <c r="C36" s="6">
        <f>Materials!$D$49</f>
        <v>1.06</v>
      </c>
      <c r="D36" s="6">
        <f>Materials!$D$49</f>
        <v>1.06</v>
      </c>
      <c r="E36" s="6">
        <f>Materials!$D$49</f>
        <v>1.06</v>
      </c>
      <c r="F36" s="6">
        <f>Materials!$D$49</f>
        <v>1.06</v>
      </c>
      <c r="G36" s="6">
        <f>Materials!$D$49</f>
        <v>1.06</v>
      </c>
      <c r="H36" s="6">
        <f>Materials!$D$49</f>
        <v>1.06</v>
      </c>
      <c r="I36" s="6">
        <f>Materials!$D$49</f>
        <v>1.06</v>
      </c>
      <c r="J36" s="6">
        <f>Materials!$D$49</f>
        <v>1.06</v>
      </c>
      <c r="K36" s="6">
        <f>Materials!$D$49</f>
        <v>1.06</v>
      </c>
      <c r="L36" s="6"/>
      <c r="M36" s="6"/>
      <c r="N36" s="6"/>
    </row>
    <row r="37" spans="1:14" x14ac:dyDescent="0.25">
      <c r="A37" s="141">
        <f t="shared" si="0"/>
        <v>33</v>
      </c>
      <c r="B37" t="s">
        <v>570</v>
      </c>
      <c r="C37" s="6">
        <f>Materials!$D$50*2</f>
        <v>0.48</v>
      </c>
      <c r="D37" s="6">
        <f>Materials!$D$50*2</f>
        <v>0.48</v>
      </c>
      <c r="E37" s="6">
        <f>Materials!$D$50*2</f>
        <v>0.48</v>
      </c>
      <c r="F37" s="6">
        <f>Materials!$D$50*2</f>
        <v>0.48</v>
      </c>
      <c r="G37" s="6">
        <f>Materials!$D$50*2</f>
        <v>0.48</v>
      </c>
      <c r="H37" s="6">
        <f>Materials!$D$50*2</f>
        <v>0.48</v>
      </c>
      <c r="I37" s="6">
        <f>Materials!$D$50*2</f>
        <v>0.48</v>
      </c>
      <c r="J37" s="6">
        <f>Materials!$D$50*2</f>
        <v>0.48</v>
      </c>
      <c r="K37" s="6">
        <f>Materials!$D$50*2</f>
        <v>0.48</v>
      </c>
      <c r="L37" s="6"/>
      <c r="M37" s="6"/>
      <c r="N37" s="6"/>
    </row>
    <row r="38" spans="1:14" x14ac:dyDescent="0.25">
      <c r="A38" s="141">
        <f t="shared" si="0"/>
        <v>34</v>
      </c>
      <c r="B38" s="2"/>
    </row>
    <row r="39" spans="1:14" x14ac:dyDescent="0.25">
      <c r="A39" s="141">
        <f t="shared" si="0"/>
        <v>35</v>
      </c>
      <c r="B39" s="2" t="s">
        <v>45</v>
      </c>
      <c r="C39" s="8">
        <f>SUM(C18:C20,C23:C28,C31:C37)</f>
        <v>189.94</v>
      </c>
      <c r="D39" s="8">
        <f t="shared" ref="D39:K39" si="1">SUM(D18:D20,D23:D28,D31:D37)</f>
        <v>455.53000000000009</v>
      </c>
      <c r="E39" s="8">
        <f t="shared" si="1"/>
        <v>472.03000000000009</v>
      </c>
      <c r="F39" s="8">
        <f t="shared" si="1"/>
        <v>505.03000000000009</v>
      </c>
      <c r="G39" s="8">
        <f t="shared" si="1"/>
        <v>752.53</v>
      </c>
      <c r="H39" s="8">
        <f t="shared" si="1"/>
        <v>279.71474480151232</v>
      </c>
      <c r="I39" s="8">
        <f t="shared" si="1"/>
        <v>285.21474480151232</v>
      </c>
      <c r="J39" s="8">
        <f t="shared" si="1"/>
        <v>340.21474480151238</v>
      </c>
      <c r="K39" s="8">
        <f t="shared" si="1"/>
        <v>439.21474480151232</v>
      </c>
      <c r="L39" s="8"/>
      <c r="M39" s="8"/>
      <c r="N39" s="8"/>
    </row>
    <row r="40" spans="1:14" x14ac:dyDescent="0.25">
      <c r="A40" s="141">
        <f t="shared" si="0"/>
        <v>36</v>
      </c>
      <c r="B40" s="2" t="s">
        <v>46</v>
      </c>
      <c r="C40" s="10">
        <f>1+'Materials+LaborUnits'!$D$29</f>
        <v>1.1839500000000001</v>
      </c>
      <c r="D40" s="10">
        <f>1+'Materials+LaborUnits'!$D$29</f>
        <v>1.1839500000000001</v>
      </c>
      <c r="E40" s="10">
        <f>1+'Materials+LaborUnits'!$D$29</f>
        <v>1.1839500000000001</v>
      </c>
      <c r="F40" s="10">
        <f>1+'Materials+LaborUnits'!$D$29</f>
        <v>1.1839500000000001</v>
      </c>
      <c r="G40" s="10">
        <f>1+'Materials+LaborUnits'!$D$29</f>
        <v>1.1839500000000001</v>
      </c>
      <c r="H40" s="10">
        <f>1+'Materials+LaborUnits'!$D$29</f>
        <v>1.1839500000000001</v>
      </c>
      <c r="I40" s="10">
        <f>1+'Materials+LaborUnits'!$D$29</f>
        <v>1.1839500000000001</v>
      </c>
      <c r="J40" s="10">
        <f>1+'Materials+LaborUnits'!$D$29</f>
        <v>1.1839500000000001</v>
      </c>
      <c r="K40" s="10">
        <f>1+'Materials+LaborUnits'!$D$29</f>
        <v>1.1839500000000001</v>
      </c>
      <c r="L40" s="10"/>
      <c r="M40" s="10"/>
      <c r="N40" s="10"/>
    </row>
    <row r="41" spans="1:14" x14ac:dyDescent="0.25">
      <c r="A41" s="141">
        <f t="shared" si="0"/>
        <v>37</v>
      </c>
      <c r="B41" s="1" t="s">
        <v>49</v>
      </c>
      <c r="C41" s="8">
        <f>C40*C39</f>
        <v>224.87946300000002</v>
      </c>
      <c r="D41" s="8">
        <f t="shared" ref="D41:K41" si="2">D40*D39</f>
        <v>539.32474350000018</v>
      </c>
      <c r="E41" s="8">
        <f t="shared" si="2"/>
        <v>558.85991850000016</v>
      </c>
      <c r="F41" s="8">
        <f t="shared" si="2"/>
        <v>597.93026850000012</v>
      </c>
      <c r="G41" s="8">
        <f t="shared" si="2"/>
        <v>890.95789349999995</v>
      </c>
      <c r="H41" s="8">
        <f t="shared" si="2"/>
        <v>331.16827210775051</v>
      </c>
      <c r="I41" s="8">
        <f t="shared" si="2"/>
        <v>337.67999710775052</v>
      </c>
      <c r="J41" s="8">
        <f t="shared" si="2"/>
        <v>402.79724710775059</v>
      </c>
      <c r="K41" s="8">
        <f t="shared" si="2"/>
        <v>520.00829710775054</v>
      </c>
      <c r="L41" s="8"/>
      <c r="M41" s="8"/>
      <c r="N41" s="8"/>
    </row>
    <row r="42" spans="1:14" x14ac:dyDescent="0.25">
      <c r="A42" s="141">
        <f t="shared" si="0"/>
        <v>38</v>
      </c>
    </row>
    <row r="43" spans="1:14" x14ac:dyDescent="0.25">
      <c r="A43" s="141">
        <f t="shared" si="0"/>
        <v>39</v>
      </c>
      <c r="B43" s="3" t="s">
        <v>8</v>
      </c>
    </row>
    <row r="44" spans="1:14" x14ac:dyDescent="0.25">
      <c r="A44" s="141">
        <f t="shared" si="0"/>
        <v>40</v>
      </c>
      <c r="B44" t="s">
        <v>50</v>
      </c>
      <c r="C44" s="4">
        <f>'Materials+LaborUnits'!$D$30</f>
        <v>92.68</v>
      </c>
      <c r="D44" s="4">
        <f>'Materials+LaborUnits'!$D$30</f>
        <v>92.68</v>
      </c>
      <c r="E44" s="4">
        <f>'Materials+LaborUnits'!$D$30</f>
        <v>92.68</v>
      </c>
      <c r="F44" s="4">
        <f>'Materials+LaborUnits'!$D$30</f>
        <v>92.68</v>
      </c>
      <c r="G44" s="4">
        <f>'Materials+LaborUnits'!$D$30</f>
        <v>92.68</v>
      </c>
      <c r="H44" s="4">
        <f>'Materials+LaborUnits'!$D$30</f>
        <v>92.68</v>
      </c>
      <c r="I44" s="4">
        <f>'Materials+LaborUnits'!$D$30</f>
        <v>92.68</v>
      </c>
      <c r="J44" s="4">
        <f>'Materials+LaborUnits'!$D$30</f>
        <v>92.68</v>
      </c>
      <c r="K44" s="4">
        <f>'Materials+LaborUnits'!$D$30</f>
        <v>92.68</v>
      </c>
      <c r="L44" s="4"/>
      <c r="M44" s="4"/>
      <c r="N44" s="4"/>
    </row>
    <row r="45" spans="1:14" x14ac:dyDescent="0.25">
      <c r="A45" s="141">
        <f t="shared" si="0"/>
        <v>41</v>
      </c>
      <c r="B45" t="s">
        <v>51</v>
      </c>
      <c r="C45" s="4">
        <f>'Materials+LaborUnits'!$D$33*150</f>
        <v>144</v>
      </c>
      <c r="D45" s="4">
        <f>'Materials+LaborUnits'!$D$33*150</f>
        <v>144</v>
      </c>
      <c r="E45" s="4">
        <f>'Materials+LaborUnits'!$D$33*150</f>
        <v>144</v>
      </c>
      <c r="F45" s="4">
        <f>'Materials+LaborUnits'!$D$33*150</f>
        <v>144</v>
      </c>
      <c r="G45" s="4">
        <f>'Materials+LaborUnits'!$D$33*150</f>
        <v>144</v>
      </c>
      <c r="H45" s="4">
        <f>'Materials+LaborUnits'!$D$33*150</f>
        <v>144</v>
      </c>
      <c r="I45" s="4">
        <f>'Materials+LaborUnits'!$D$33*150</f>
        <v>144</v>
      </c>
      <c r="J45" s="4">
        <f>'Materials+LaborUnits'!$D$33*150</f>
        <v>144</v>
      </c>
      <c r="K45" s="4">
        <f>'Materials+LaborUnits'!$D$33*150</f>
        <v>144</v>
      </c>
      <c r="L45" s="4"/>
      <c r="M45" s="4"/>
      <c r="N45" s="4"/>
    </row>
    <row r="46" spans="1:14" x14ac:dyDescent="0.25">
      <c r="A46" s="141">
        <f t="shared" si="0"/>
        <v>42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25">
      <c r="A47" s="141">
        <f t="shared" si="0"/>
        <v>43</v>
      </c>
      <c r="B47" t="s">
        <v>52</v>
      </c>
      <c r="C47" s="4">
        <f>SUM(C44:C45)</f>
        <v>236.68</v>
      </c>
      <c r="D47" s="4">
        <f t="shared" ref="D47:K47" si="3">SUM(D44:D45)</f>
        <v>236.68</v>
      </c>
      <c r="E47" s="4">
        <f t="shared" si="3"/>
        <v>236.68</v>
      </c>
      <c r="F47" s="4">
        <f t="shared" si="3"/>
        <v>236.68</v>
      </c>
      <c r="G47" s="4">
        <f t="shared" si="3"/>
        <v>236.68</v>
      </c>
      <c r="H47" s="4">
        <f t="shared" si="3"/>
        <v>236.68</v>
      </c>
      <c r="I47" s="4">
        <f t="shared" si="3"/>
        <v>236.68</v>
      </c>
      <c r="J47" s="4">
        <f t="shared" si="3"/>
        <v>236.68</v>
      </c>
      <c r="K47" s="4">
        <f t="shared" si="3"/>
        <v>236.68</v>
      </c>
      <c r="L47" s="4"/>
      <c r="M47" s="4"/>
      <c r="N47" s="4"/>
    </row>
    <row r="48" spans="1:14" x14ac:dyDescent="0.25">
      <c r="A48" s="141">
        <f t="shared" si="0"/>
        <v>44</v>
      </c>
      <c r="B48" t="s">
        <v>53</v>
      </c>
      <c r="C48" s="10">
        <f>1+'Materials+LaborUnits'!$D$31</f>
        <v>1.09395</v>
      </c>
      <c r="D48" s="10">
        <f>1+'Materials+LaborUnits'!$D$31</f>
        <v>1.09395</v>
      </c>
      <c r="E48" s="10">
        <f>1+'Materials+LaborUnits'!$D$31</f>
        <v>1.09395</v>
      </c>
      <c r="F48" s="10">
        <f>1+'Materials+LaborUnits'!$D$31</f>
        <v>1.09395</v>
      </c>
      <c r="G48" s="10">
        <f>1+'Materials+LaborUnits'!$D$31</f>
        <v>1.09395</v>
      </c>
      <c r="H48" s="10">
        <f>1+'Materials+LaborUnits'!$D$31</f>
        <v>1.09395</v>
      </c>
      <c r="I48" s="10">
        <f>1+'Materials+LaborUnits'!$D$31</f>
        <v>1.09395</v>
      </c>
      <c r="J48" s="10">
        <f>1+'Materials+LaborUnits'!$D$31</f>
        <v>1.09395</v>
      </c>
      <c r="K48" s="10">
        <f>1+'Materials+LaborUnits'!$D$31</f>
        <v>1.09395</v>
      </c>
      <c r="L48" s="10"/>
      <c r="M48" s="10"/>
      <c r="N48" s="10"/>
    </row>
    <row r="49" spans="1:14" x14ac:dyDescent="0.25">
      <c r="A49" s="141">
        <f t="shared" si="0"/>
        <v>45</v>
      </c>
      <c r="B49" s="1" t="s">
        <v>54</v>
      </c>
      <c r="C49" s="4">
        <f t="shared" ref="C49:K49" si="4">C47*C48</f>
        <v>258.91608600000001</v>
      </c>
      <c r="D49" s="4">
        <f t="shared" si="4"/>
        <v>258.91608600000001</v>
      </c>
      <c r="E49" s="4">
        <f t="shared" si="4"/>
        <v>258.91608600000001</v>
      </c>
      <c r="F49" s="4">
        <f t="shared" si="4"/>
        <v>258.91608600000001</v>
      </c>
      <c r="G49" s="4">
        <f t="shared" si="4"/>
        <v>258.91608600000001</v>
      </c>
      <c r="H49" s="4">
        <f t="shared" si="4"/>
        <v>258.91608600000001</v>
      </c>
      <c r="I49" s="4">
        <f t="shared" si="4"/>
        <v>258.91608600000001</v>
      </c>
      <c r="J49" s="4">
        <f t="shared" si="4"/>
        <v>258.91608600000001</v>
      </c>
      <c r="K49" s="4">
        <f t="shared" si="4"/>
        <v>258.91608600000001</v>
      </c>
      <c r="L49" s="4"/>
      <c r="M49" s="4"/>
      <c r="N49" s="4"/>
    </row>
    <row r="50" spans="1:14" x14ac:dyDescent="0.25">
      <c r="A50" s="141">
        <f t="shared" si="0"/>
        <v>46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25">
      <c r="A51" s="141">
        <f t="shared" si="0"/>
        <v>47</v>
      </c>
      <c r="B51" s="7" t="s">
        <v>55</v>
      </c>
      <c r="C51" s="4">
        <f t="shared" ref="C51:K51" si="5">SUM(C49,C41)</f>
        <v>483.79554900000005</v>
      </c>
      <c r="D51" s="4">
        <f t="shared" si="5"/>
        <v>798.24082950000025</v>
      </c>
      <c r="E51" s="4">
        <f t="shared" si="5"/>
        <v>817.77600450000023</v>
      </c>
      <c r="F51" s="4">
        <f t="shared" si="5"/>
        <v>856.84635450000019</v>
      </c>
      <c r="G51" s="4">
        <f t="shared" si="5"/>
        <v>1149.8739794999999</v>
      </c>
      <c r="H51" s="4">
        <f t="shared" si="5"/>
        <v>590.08435810775052</v>
      </c>
      <c r="I51" s="4">
        <f t="shared" si="5"/>
        <v>596.59608310775047</v>
      </c>
      <c r="J51" s="4">
        <f t="shared" si="5"/>
        <v>661.7133331077506</v>
      </c>
      <c r="K51" s="4">
        <f t="shared" si="5"/>
        <v>778.9243831077506</v>
      </c>
      <c r="L51" s="4"/>
      <c r="M51" s="4"/>
      <c r="N51" s="4"/>
    </row>
    <row r="52" spans="1:14" x14ac:dyDescent="0.25">
      <c r="A52" s="141">
        <f t="shared" si="0"/>
        <v>48</v>
      </c>
      <c r="C52" s="8"/>
      <c r="D52" s="8"/>
      <c r="E52" s="8"/>
      <c r="F52" s="8"/>
      <c r="G52" s="8"/>
      <c r="H52" s="8"/>
      <c r="I52" s="8"/>
      <c r="J52" s="8"/>
      <c r="K52" s="8"/>
    </row>
    <row r="53" spans="1:14" x14ac:dyDescent="0.25">
      <c r="A53" s="141">
        <f t="shared" si="0"/>
        <v>49</v>
      </c>
    </row>
    <row r="54" spans="1:14" x14ac:dyDescent="0.25">
      <c r="A54" s="141">
        <f t="shared" si="0"/>
        <v>50</v>
      </c>
    </row>
    <row r="55" spans="1:14" x14ac:dyDescent="0.25">
      <c r="A55" s="141">
        <f t="shared" si="0"/>
        <v>51</v>
      </c>
      <c r="B55" s="1" t="s">
        <v>236</v>
      </c>
      <c r="C55" s="4"/>
      <c r="D55" s="4"/>
      <c r="E55" s="4"/>
      <c r="F55" s="4"/>
      <c r="G55" s="4"/>
      <c r="H55" s="4"/>
      <c r="I55" s="4"/>
      <c r="J55" s="4"/>
      <c r="K55" s="4"/>
    </row>
    <row r="56" spans="1:14" x14ac:dyDescent="0.25">
      <c r="A56" s="141">
        <f>A55+1</f>
        <v>52</v>
      </c>
      <c r="B56" t="s">
        <v>493</v>
      </c>
      <c r="C56" s="290">
        <f>'Maintenance &amp; NBV'!$I$7</f>
        <v>5.0519597889028978</v>
      </c>
      <c r="D56" s="290">
        <f>'Maintenance &amp; NBV'!$I$7</f>
        <v>5.0519597889028978</v>
      </c>
      <c r="E56" s="290">
        <f>'Maintenance &amp; NBV'!$I$7</f>
        <v>5.0519597889028978</v>
      </c>
      <c r="F56" s="290">
        <f>'Maintenance &amp; NBV'!$I$7</f>
        <v>5.0519597889028978</v>
      </c>
      <c r="G56" s="290">
        <f>'Maintenance &amp; NBV'!$I$7</f>
        <v>5.0519597889028978</v>
      </c>
      <c r="H56" s="290">
        <f>'Maintenance &amp; NBV'!$I$7</f>
        <v>5.0519597889028978</v>
      </c>
      <c r="I56" s="290">
        <f>'Maintenance &amp; NBV'!$I$7</f>
        <v>5.0519597889028978</v>
      </c>
      <c r="J56" s="290">
        <f>'Maintenance &amp; NBV'!$I$7</f>
        <v>5.0519597889028978</v>
      </c>
      <c r="K56" s="290">
        <f>'Maintenance &amp; NBV'!$I$7</f>
        <v>5.0519597889028978</v>
      </c>
    </row>
    <row r="57" spans="1:14" x14ac:dyDescent="0.25">
      <c r="A57" s="141">
        <f t="shared" si="0"/>
        <v>53</v>
      </c>
      <c r="B57" t="s">
        <v>237</v>
      </c>
      <c r="C57" s="4">
        <f t="shared" ref="C57:K57" si="6">SUM(C54:C56)</f>
        <v>5.0519597889028978</v>
      </c>
      <c r="D57" s="4">
        <f t="shared" si="6"/>
        <v>5.0519597889028978</v>
      </c>
      <c r="E57" s="4">
        <f t="shared" si="6"/>
        <v>5.0519597889028978</v>
      </c>
      <c r="F57" s="4">
        <f t="shared" si="6"/>
        <v>5.0519597889028978</v>
      </c>
      <c r="G57" s="4">
        <f t="shared" si="6"/>
        <v>5.0519597889028978</v>
      </c>
      <c r="H57" s="4">
        <f t="shared" si="6"/>
        <v>5.0519597889028978</v>
      </c>
      <c r="I57" s="4">
        <f t="shared" si="6"/>
        <v>5.0519597889028978</v>
      </c>
      <c r="J57" s="4">
        <f t="shared" si="6"/>
        <v>5.0519597889028978</v>
      </c>
      <c r="K57" s="4">
        <f t="shared" si="6"/>
        <v>5.0519597889028978</v>
      </c>
    </row>
  </sheetData>
  <mergeCells count="1">
    <mergeCell ref="C3:K3"/>
  </mergeCells>
  <pageMargins left="1" right="1" top="1" bottom="1.75" header="0.5" footer="0.5"/>
  <pageSetup scale="49" orientation="landscape" r:id="rId1"/>
  <headerFooter scaleWithDoc="0">
    <oddFooter xml:space="preserve">&amp;R&amp;"Times New Roman,Bold"&amp;12 Case No. 2018-00295
Attachment to Response to PSC-2 Question No. 29a-b
Page &amp;P of &amp;N
Seelye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4"/>
  <sheetViews>
    <sheetView zoomScale="70" zoomScaleNormal="70" workbookViewId="0"/>
  </sheetViews>
  <sheetFormatPr defaultRowHeight="15" x14ac:dyDescent="0.25"/>
  <cols>
    <col min="1" max="1" width="3.85546875" bestFit="1" customWidth="1"/>
    <col min="2" max="2" width="32.42578125" customWidth="1"/>
    <col min="3" max="13" width="19.5703125" bestFit="1" customWidth="1"/>
    <col min="14" max="17" width="19.5703125" customWidth="1"/>
    <col min="18" max="18" width="12.85546875" customWidth="1"/>
    <col min="19" max="19" width="14.85546875" bestFit="1" customWidth="1"/>
  </cols>
  <sheetData>
    <row r="1" spans="1:19" x14ac:dyDescent="0.25">
      <c r="B1" t="s">
        <v>56</v>
      </c>
      <c r="R1" s="11"/>
      <c r="S1" s="11"/>
    </row>
    <row r="2" spans="1:19" x14ac:dyDescent="0.25">
      <c r="B2" t="s">
        <v>57</v>
      </c>
      <c r="R2" s="11"/>
      <c r="S2" s="11"/>
    </row>
    <row r="3" spans="1:19" x14ac:dyDescent="0.25">
      <c r="C3" s="332" t="s">
        <v>38</v>
      </c>
      <c r="D3" s="333"/>
      <c r="E3" s="333"/>
      <c r="F3" s="333"/>
      <c r="G3" s="333"/>
      <c r="H3" s="333"/>
      <c r="I3" s="333"/>
      <c r="J3" s="333"/>
      <c r="K3" s="333"/>
      <c r="L3" s="333"/>
      <c r="M3" s="334"/>
      <c r="N3" s="313"/>
      <c r="O3" s="313"/>
      <c r="P3" s="313"/>
      <c r="Q3" s="313"/>
      <c r="R3" s="31"/>
      <c r="S3" s="31"/>
    </row>
    <row r="4" spans="1:19" x14ac:dyDescent="0.25">
      <c r="A4" s="141">
        <v>1</v>
      </c>
      <c r="B4" s="1" t="s">
        <v>193</v>
      </c>
      <c r="C4" s="5" t="s">
        <v>546</v>
      </c>
      <c r="D4" s="5">
        <v>496</v>
      </c>
      <c r="E4" s="5">
        <v>497</v>
      </c>
      <c r="F4" s="5">
        <v>498</v>
      </c>
      <c r="G4" s="5" t="s">
        <v>541</v>
      </c>
      <c r="H4" s="5" t="s">
        <v>542</v>
      </c>
      <c r="I4" s="5" t="s">
        <v>543</v>
      </c>
      <c r="J4" s="5" t="s">
        <v>544</v>
      </c>
      <c r="K4" s="5" t="s">
        <v>545</v>
      </c>
      <c r="L4" s="5">
        <v>499</v>
      </c>
      <c r="M4" s="5" t="s">
        <v>540</v>
      </c>
      <c r="N4" s="5" t="s">
        <v>555</v>
      </c>
      <c r="O4" s="5" t="s">
        <v>556</v>
      </c>
      <c r="P4" s="5" t="s">
        <v>557</v>
      </c>
      <c r="Q4" s="5" t="s">
        <v>558</v>
      </c>
      <c r="R4" s="14"/>
      <c r="S4" s="14"/>
    </row>
    <row r="5" spans="1:19" x14ac:dyDescent="0.25">
      <c r="A5" s="141">
        <f>A4+1</f>
        <v>2</v>
      </c>
      <c r="B5" s="1" t="s">
        <v>277</v>
      </c>
      <c r="C5" s="5" t="s">
        <v>370</v>
      </c>
      <c r="D5" s="5" t="s">
        <v>370</v>
      </c>
      <c r="E5" s="5" t="s">
        <v>370</v>
      </c>
      <c r="F5" s="5" t="s">
        <v>370</v>
      </c>
      <c r="G5" s="5" t="s">
        <v>370</v>
      </c>
      <c r="H5" s="5" t="s">
        <v>370</v>
      </c>
      <c r="I5" s="5" t="s">
        <v>370</v>
      </c>
      <c r="J5" s="5" t="s">
        <v>370</v>
      </c>
      <c r="K5" s="5" t="s">
        <v>370</v>
      </c>
      <c r="L5" s="5" t="s">
        <v>370</v>
      </c>
      <c r="M5" s="5" t="s">
        <v>370</v>
      </c>
      <c r="N5" s="5" t="s">
        <v>370</v>
      </c>
      <c r="O5" s="5" t="s">
        <v>370</v>
      </c>
      <c r="P5" s="5" t="s">
        <v>370</v>
      </c>
      <c r="Q5" s="5" t="s">
        <v>370</v>
      </c>
      <c r="R5" s="14"/>
      <c r="S5" s="14"/>
    </row>
    <row r="6" spans="1:19" x14ac:dyDescent="0.25">
      <c r="A6" s="141">
        <f t="shared" ref="A6:A70" si="0">A5+1</f>
        <v>3</v>
      </c>
      <c r="B6" s="1" t="s">
        <v>15</v>
      </c>
      <c r="C6" s="5" t="s">
        <v>29</v>
      </c>
      <c r="D6" s="5" t="s">
        <v>29</v>
      </c>
      <c r="E6" s="5" t="s">
        <v>29</v>
      </c>
      <c r="F6" s="5" t="s">
        <v>29</v>
      </c>
      <c r="G6" s="5" t="s">
        <v>77</v>
      </c>
      <c r="H6" s="5" t="s">
        <v>87</v>
      </c>
      <c r="I6" s="5" t="s">
        <v>77</v>
      </c>
      <c r="J6" s="5" t="s">
        <v>77</v>
      </c>
      <c r="K6" s="5" t="s">
        <v>77</v>
      </c>
      <c r="L6" s="5" t="s">
        <v>78</v>
      </c>
      <c r="M6" s="5" t="s">
        <v>79</v>
      </c>
      <c r="N6" s="5" t="s">
        <v>196</v>
      </c>
      <c r="O6" s="5" t="s">
        <v>196</v>
      </c>
      <c r="P6" s="5" t="s">
        <v>196</v>
      </c>
      <c r="Q6" s="5" t="s">
        <v>196</v>
      </c>
      <c r="R6" s="14"/>
      <c r="S6" s="14"/>
    </row>
    <row r="7" spans="1:19" x14ac:dyDescent="0.25">
      <c r="A7" s="141">
        <f t="shared" si="0"/>
        <v>4</v>
      </c>
      <c r="B7" s="1" t="s">
        <v>279</v>
      </c>
      <c r="C7" s="5" t="s">
        <v>374</v>
      </c>
      <c r="D7" s="5" t="s">
        <v>374</v>
      </c>
      <c r="E7" s="5" t="s">
        <v>374</v>
      </c>
      <c r="F7" s="5" t="s">
        <v>374</v>
      </c>
      <c r="G7" s="5" t="s">
        <v>374</v>
      </c>
      <c r="H7" s="5" t="s">
        <v>374</v>
      </c>
      <c r="I7" s="5" t="s">
        <v>374</v>
      </c>
      <c r="J7" s="5" t="s">
        <v>374</v>
      </c>
      <c r="K7" s="5" t="s">
        <v>374</v>
      </c>
      <c r="L7" s="5" t="s">
        <v>374</v>
      </c>
      <c r="M7" s="5" t="s">
        <v>374</v>
      </c>
      <c r="N7" s="5"/>
      <c r="O7" s="5"/>
      <c r="P7" s="5"/>
      <c r="Q7" s="5"/>
      <c r="R7" s="14"/>
      <c r="S7" s="14"/>
    </row>
    <row r="8" spans="1:19" x14ac:dyDescent="0.25">
      <c r="A8" s="141">
        <f t="shared" si="0"/>
        <v>5</v>
      </c>
      <c r="B8" s="1" t="s">
        <v>19</v>
      </c>
      <c r="C8" s="5" t="s">
        <v>33</v>
      </c>
      <c r="D8" s="5" t="s">
        <v>34</v>
      </c>
      <c r="E8" s="5" t="s">
        <v>35</v>
      </c>
      <c r="F8" s="5" t="s">
        <v>36</v>
      </c>
      <c r="G8" s="5" t="s">
        <v>80</v>
      </c>
      <c r="H8" s="5" t="s">
        <v>81</v>
      </c>
      <c r="I8" t="s">
        <v>82</v>
      </c>
      <c r="J8" s="5" t="s">
        <v>83</v>
      </c>
      <c r="K8" s="5" t="s">
        <v>84</v>
      </c>
      <c r="L8" s="5" t="s">
        <v>80</v>
      </c>
      <c r="M8" s="5" t="s">
        <v>80</v>
      </c>
      <c r="N8" s="5" t="s">
        <v>18</v>
      </c>
      <c r="O8" s="5" t="s">
        <v>23</v>
      </c>
      <c r="P8" s="5" t="s">
        <v>24</v>
      </c>
      <c r="Q8" s="5" t="s">
        <v>25</v>
      </c>
      <c r="R8" s="14"/>
      <c r="S8" s="14"/>
    </row>
    <row r="9" spans="1:19" x14ac:dyDescent="0.25">
      <c r="A9" s="141">
        <f t="shared" si="0"/>
        <v>6</v>
      </c>
      <c r="B9" s="1" t="s">
        <v>219</v>
      </c>
      <c r="C9" s="5" t="s">
        <v>220</v>
      </c>
      <c r="D9" s="5" t="s">
        <v>220</v>
      </c>
      <c r="E9" s="5" t="s">
        <v>220</v>
      </c>
      <c r="F9" s="5" t="s">
        <v>220</v>
      </c>
      <c r="G9" s="5" t="s">
        <v>220</v>
      </c>
      <c r="H9" s="5" t="s">
        <v>220</v>
      </c>
      <c r="I9" s="5" t="s">
        <v>220</v>
      </c>
      <c r="J9" s="5" t="s">
        <v>220</v>
      </c>
      <c r="K9" s="5" t="s">
        <v>220</v>
      </c>
      <c r="L9" s="5" t="s">
        <v>220</v>
      </c>
      <c r="M9" s="5" t="s">
        <v>220</v>
      </c>
      <c r="N9" s="5" t="s">
        <v>220</v>
      </c>
      <c r="O9" s="5" t="s">
        <v>220</v>
      </c>
      <c r="P9" s="5" t="s">
        <v>220</v>
      </c>
      <c r="Q9" s="5" t="s">
        <v>220</v>
      </c>
      <c r="R9" s="14"/>
      <c r="S9" s="14"/>
    </row>
    <row r="10" spans="1:19" x14ac:dyDescent="0.25">
      <c r="A10" s="141">
        <f t="shared" si="0"/>
        <v>7</v>
      </c>
      <c r="B10" s="1" t="s">
        <v>20</v>
      </c>
      <c r="C10" s="5" t="s">
        <v>30</v>
      </c>
      <c r="D10" s="5" t="s">
        <v>31</v>
      </c>
      <c r="E10" s="5" t="s">
        <v>32</v>
      </c>
      <c r="F10" s="5" t="s">
        <v>27</v>
      </c>
      <c r="G10" s="5" t="s">
        <v>30</v>
      </c>
      <c r="H10" s="5" t="s">
        <v>31</v>
      </c>
      <c r="I10" s="5" t="s">
        <v>85</v>
      </c>
      <c r="J10" s="5" t="s">
        <v>27</v>
      </c>
      <c r="K10" s="5" t="s">
        <v>28</v>
      </c>
      <c r="L10" s="5" t="s">
        <v>86</v>
      </c>
      <c r="M10" s="5" t="s">
        <v>86</v>
      </c>
      <c r="N10" s="5" t="s">
        <v>22</v>
      </c>
      <c r="O10" s="5" t="s">
        <v>26</v>
      </c>
      <c r="P10" s="5" t="s">
        <v>27</v>
      </c>
      <c r="Q10" s="5" t="s">
        <v>28</v>
      </c>
      <c r="R10" s="14"/>
      <c r="S10" s="14"/>
    </row>
    <row r="11" spans="1:19" x14ac:dyDescent="0.25">
      <c r="A11" s="141">
        <f t="shared" si="0"/>
        <v>8</v>
      </c>
      <c r="B11" s="1" t="s">
        <v>222</v>
      </c>
      <c r="C11" s="5">
        <v>22</v>
      </c>
      <c r="D11" s="5">
        <v>71</v>
      </c>
      <c r="E11" s="5">
        <v>122</v>
      </c>
      <c r="F11" s="5">
        <v>194</v>
      </c>
      <c r="G11" s="5">
        <v>57</v>
      </c>
      <c r="H11" s="5">
        <v>87</v>
      </c>
      <c r="I11" s="5">
        <v>143</v>
      </c>
      <c r="J11" s="5">
        <v>220</v>
      </c>
      <c r="K11" s="5">
        <v>380</v>
      </c>
      <c r="L11" s="5">
        <v>44</v>
      </c>
      <c r="M11" s="5">
        <v>40</v>
      </c>
      <c r="N11" s="143">
        <v>30</v>
      </c>
      <c r="O11" s="143">
        <v>96</v>
      </c>
      <c r="P11" s="143">
        <v>175</v>
      </c>
      <c r="Q11" s="143">
        <v>297</v>
      </c>
      <c r="R11" s="14"/>
      <c r="S11" s="14"/>
    </row>
    <row r="12" spans="1:19" x14ac:dyDescent="0.25">
      <c r="A12" s="141">
        <f t="shared" si="0"/>
        <v>9</v>
      </c>
      <c r="B12" s="1" t="s">
        <v>375</v>
      </c>
      <c r="C12" s="6" t="s">
        <v>373</v>
      </c>
      <c r="D12" s="6">
        <v>54.63</v>
      </c>
      <c r="E12" s="6">
        <v>57.64</v>
      </c>
      <c r="F12" s="6">
        <v>65.790000000000006</v>
      </c>
      <c r="G12" s="6" t="s">
        <v>373</v>
      </c>
      <c r="H12" s="6" t="s">
        <v>373</v>
      </c>
      <c r="I12" s="6" t="s">
        <v>373</v>
      </c>
      <c r="J12" s="6" t="s">
        <v>373</v>
      </c>
      <c r="K12" s="6" t="s">
        <v>373</v>
      </c>
      <c r="L12" s="6">
        <v>48.35</v>
      </c>
      <c r="M12" s="6" t="s">
        <v>373</v>
      </c>
      <c r="N12" s="6"/>
      <c r="O12" s="6"/>
      <c r="P12" s="6"/>
      <c r="Q12" s="6"/>
      <c r="R12" s="14"/>
      <c r="S12" s="14"/>
    </row>
    <row r="13" spans="1:19" x14ac:dyDescent="0.25">
      <c r="A13" s="141">
        <f t="shared" si="0"/>
        <v>10</v>
      </c>
      <c r="B13" s="1"/>
      <c r="C13" s="5"/>
      <c r="D13" s="5"/>
      <c r="E13" s="5"/>
      <c r="F13" s="5"/>
      <c r="G13" s="5"/>
      <c r="H13" s="5"/>
      <c r="I13" s="5"/>
      <c r="J13" s="345"/>
      <c r="K13" s="5"/>
      <c r="L13" s="5"/>
      <c r="M13" s="5"/>
      <c r="N13" s="5"/>
      <c r="O13" s="5"/>
      <c r="P13" s="5"/>
      <c r="Q13" s="5"/>
      <c r="R13" s="14"/>
      <c r="S13" s="14"/>
    </row>
    <row r="14" spans="1:19" x14ac:dyDescent="0.25">
      <c r="A14" s="141">
        <f t="shared" si="0"/>
        <v>11</v>
      </c>
      <c r="B14" s="7" t="s">
        <v>48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4"/>
      <c r="S14" s="14"/>
    </row>
    <row r="15" spans="1:19" x14ac:dyDescent="0.25">
      <c r="A15" s="141">
        <f t="shared" si="0"/>
        <v>12</v>
      </c>
      <c r="B15" s="1" t="s">
        <v>47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4"/>
      <c r="S15" s="14"/>
    </row>
    <row r="16" spans="1:19" x14ac:dyDescent="0.25">
      <c r="A16" s="141">
        <f t="shared" si="0"/>
        <v>13</v>
      </c>
      <c r="B16" s="3" t="s">
        <v>10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5"/>
      <c r="S16" s="15"/>
    </row>
    <row r="17" spans="1:19" x14ac:dyDescent="0.25">
      <c r="A17" s="141">
        <f t="shared" si="0"/>
        <v>14</v>
      </c>
      <c r="B17" t="s">
        <v>14</v>
      </c>
      <c r="C17" s="6">
        <f>'Materials+LaborUnits'!$D$2</f>
        <v>143</v>
      </c>
      <c r="D17" s="6">
        <f>'Materials+LaborUnits'!$D$3</f>
        <v>148.5</v>
      </c>
      <c r="E17" s="6">
        <f>'Materials+LaborUnits'!$D$4</f>
        <v>203.50000000000003</v>
      </c>
      <c r="F17" s="6">
        <f>'Materials+LaborUnits'!$D$5</f>
        <v>302.5</v>
      </c>
      <c r="G17" s="6">
        <f>'Materials+LaborUnits'!$D$10</f>
        <v>275</v>
      </c>
      <c r="H17" s="6">
        <f>'Materials+LaborUnits'!$D$12</f>
        <v>302.5</v>
      </c>
      <c r="I17" s="6">
        <f>'Materials+LaborUnits'!$D$14</f>
        <v>328.90000000000003</v>
      </c>
      <c r="J17" s="6">
        <f>'Materials+LaborUnits'!$D$16</f>
        <v>495.00000000000006</v>
      </c>
      <c r="K17" s="6">
        <f>'Materials+LaborUnits'!$D$18</f>
        <v>715.00000000000011</v>
      </c>
      <c r="L17" s="6">
        <f>'Materials+LaborUnits'!$D$7</f>
        <v>330</v>
      </c>
      <c r="M17" s="6">
        <f>'Materials+LaborUnits'!$D$5</f>
        <v>302.5</v>
      </c>
      <c r="N17" s="6">
        <f>'Materials+LaborUnits'!$D$19</f>
        <v>363.00000000000006</v>
      </c>
      <c r="O17" s="6">
        <f>'Materials+LaborUnits'!$D$20</f>
        <v>379.50000000000006</v>
      </c>
      <c r="P17" s="6">
        <f>'Materials+LaborUnits'!$D$21</f>
        <v>412.50000000000006</v>
      </c>
      <c r="Q17" s="6">
        <f>'Materials+LaborUnits'!$D$22</f>
        <v>660</v>
      </c>
      <c r="R17" s="15"/>
      <c r="S17" s="15"/>
    </row>
    <row r="18" spans="1:19" x14ac:dyDescent="0.25">
      <c r="A18" s="141">
        <f t="shared" si="0"/>
        <v>15</v>
      </c>
      <c r="B18" t="s">
        <v>13</v>
      </c>
      <c r="C18" s="6" t="s">
        <v>37</v>
      </c>
      <c r="D18" s="6" t="s">
        <v>37</v>
      </c>
      <c r="E18" s="6" t="s">
        <v>37</v>
      </c>
      <c r="F18" s="6" t="s">
        <v>37</v>
      </c>
      <c r="G18" s="6" t="s">
        <v>37</v>
      </c>
      <c r="H18" s="6" t="s">
        <v>37</v>
      </c>
      <c r="I18" s="6" t="s">
        <v>37</v>
      </c>
      <c r="J18" s="6" t="s">
        <v>37</v>
      </c>
      <c r="K18" s="6" t="s">
        <v>37</v>
      </c>
      <c r="L18" s="6" t="s">
        <v>37</v>
      </c>
      <c r="M18" s="6" t="s">
        <v>37</v>
      </c>
      <c r="N18" s="6" t="s">
        <v>37</v>
      </c>
      <c r="O18" s="6" t="s">
        <v>37</v>
      </c>
      <c r="P18" s="6" t="s">
        <v>37</v>
      </c>
      <c r="Q18" s="6" t="s">
        <v>37</v>
      </c>
      <c r="R18" s="15"/>
      <c r="S18" s="15"/>
    </row>
    <row r="19" spans="1:19" x14ac:dyDescent="0.25">
      <c r="A19" s="141">
        <f t="shared" si="0"/>
        <v>16</v>
      </c>
      <c r="B19" t="s">
        <v>12</v>
      </c>
      <c r="C19" s="6" t="s">
        <v>37</v>
      </c>
      <c r="D19" s="6" t="s">
        <v>37</v>
      </c>
      <c r="E19" s="6" t="s">
        <v>37</v>
      </c>
      <c r="F19" s="6" t="s">
        <v>37</v>
      </c>
      <c r="G19" s="6" t="s">
        <v>37</v>
      </c>
      <c r="H19" s="6" t="s">
        <v>37</v>
      </c>
      <c r="I19" s="6" t="s">
        <v>37</v>
      </c>
      <c r="J19" s="6" t="s">
        <v>37</v>
      </c>
      <c r="K19" s="6" t="s">
        <v>37</v>
      </c>
      <c r="L19" s="6" t="s">
        <v>37</v>
      </c>
      <c r="M19" s="6" t="s">
        <v>37</v>
      </c>
      <c r="N19" s="6" t="s">
        <v>37</v>
      </c>
      <c r="O19" s="6" t="s">
        <v>37</v>
      </c>
      <c r="P19" s="6" t="s">
        <v>37</v>
      </c>
      <c r="Q19" s="6" t="s">
        <v>37</v>
      </c>
      <c r="R19" s="15"/>
      <c r="S19" s="15"/>
    </row>
    <row r="20" spans="1:19" x14ac:dyDescent="0.25">
      <c r="A20" s="141">
        <f t="shared" si="0"/>
        <v>17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5"/>
      <c r="S20" s="15"/>
    </row>
    <row r="21" spans="1:19" x14ac:dyDescent="0.25">
      <c r="A21" s="141">
        <f t="shared" si="0"/>
        <v>18</v>
      </c>
      <c r="B21" s="3" t="s">
        <v>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5"/>
      <c r="S21" s="15"/>
    </row>
    <row r="22" spans="1:19" x14ac:dyDescent="0.25">
      <c r="A22" s="141">
        <f t="shared" si="0"/>
        <v>19</v>
      </c>
      <c r="B22" t="s">
        <v>9</v>
      </c>
      <c r="C22" s="6">
        <f>Materials!$D$41/2</f>
        <v>76.245000000000005</v>
      </c>
      <c r="D22" s="6">
        <f>Materials!$D$41/2</f>
        <v>76.245000000000005</v>
      </c>
      <c r="E22" s="6">
        <f>Materials!$D$41/2</f>
        <v>76.245000000000005</v>
      </c>
      <c r="F22" s="6">
        <f>Materials!$D$41/2</f>
        <v>76.245000000000005</v>
      </c>
      <c r="G22" s="6" t="s">
        <v>37</v>
      </c>
      <c r="H22" s="6" t="s">
        <v>37</v>
      </c>
      <c r="I22" s="6">
        <f>Materials!$D$45</f>
        <v>201.11</v>
      </c>
      <c r="J22" s="6">
        <f>Materials!$D$45</f>
        <v>201.11</v>
      </c>
      <c r="K22" s="6">
        <f>Materials!$D$45</f>
        <v>201.11</v>
      </c>
      <c r="L22" s="6" t="s">
        <v>37</v>
      </c>
      <c r="M22" s="6" t="s">
        <v>37</v>
      </c>
      <c r="N22" s="6">
        <f>Materials!$D$46</f>
        <v>27.99</v>
      </c>
      <c r="O22" s="6">
        <f>Materials!$D$46</f>
        <v>27.99</v>
      </c>
      <c r="P22" s="6">
        <f>Materials!$D$46</f>
        <v>27.99</v>
      </c>
      <c r="Q22" s="6">
        <f>Materials!$D$46</f>
        <v>27.99</v>
      </c>
      <c r="R22" s="15"/>
      <c r="S22" s="15"/>
    </row>
    <row r="23" spans="1:19" x14ac:dyDescent="0.25">
      <c r="A23" s="141">
        <f t="shared" si="0"/>
        <v>20</v>
      </c>
      <c r="B23" t="s">
        <v>88</v>
      </c>
      <c r="C23" s="6">
        <f>Materials!$D$48*4</f>
        <v>1.6</v>
      </c>
      <c r="D23" s="6">
        <f>Materials!$D$48*4</f>
        <v>1.6</v>
      </c>
      <c r="E23" s="6">
        <f>Materials!$D$48*4</f>
        <v>1.6</v>
      </c>
      <c r="F23" s="6">
        <f>Materials!$D$48*4</f>
        <v>1.6</v>
      </c>
      <c r="G23" s="6">
        <f>Materials!$D$48*4</f>
        <v>1.6</v>
      </c>
      <c r="H23" s="6">
        <f>Materials!$D$48*4</f>
        <v>1.6</v>
      </c>
      <c r="I23" s="6">
        <f>Materials!$D$48*4</f>
        <v>1.6</v>
      </c>
      <c r="J23" s="6">
        <f>Materials!$D$48*4</f>
        <v>1.6</v>
      </c>
      <c r="K23" s="6">
        <f>Materials!$D$48*4</f>
        <v>1.6</v>
      </c>
      <c r="L23" s="6">
        <f>Materials!$D$48*4</f>
        <v>1.6</v>
      </c>
      <c r="M23" s="6">
        <f>Materials!$D$48*4</f>
        <v>1.6</v>
      </c>
      <c r="N23" s="6">
        <f>Materials!$D$48*4</f>
        <v>1.6</v>
      </c>
      <c r="O23" s="6">
        <f>Materials!$D$48*4</f>
        <v>1.6</v>
      </c>
      <c r="P23" s="6">
        <f>Materials!$D$48*4</f>
        <v>1.6</v>
      </c>
      <c r="Q23" s="6">
        <f>Materials!$D$48*4</f>
        <v>1.6</v>
      </c>
      <c r="R23" s="15"/>
      <c r="S23" s="15"/>
    </row>
    <row r="24" spans="1:19" x14ac:dyDescent="0.25">
      <c r="A24" s="141">
        <f t="shared" si="0"/>
        <v>21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15"/>
      <c r="S24" s="15"/>
    </row>
    <row r="25" spans="1:19" x14ac:dyDescent="0.25">
      <c r="A25" s="141">
        <f t="shared" si="0"/>
        <v>22</v>
      </c>
      <c r="B25" s="3" t="s">
        <v>59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5"/>
      <c r="S25" s="15"/>
    </row>
    <row r="26" spans="1:19" x14ac:dyDescent="0.25">
      <c r="A26" s="141">
        <f t="shared" si="0"/>
        <v>23</v>
      </c>
      <c r="B26" t="s">
        <v>59</v>
      </c>
      <c r="C26" s="6">
        <f>(Materials!$D$58+Materials!$D$57)/2</f>
        <v>878.63</v>
      </c>
      <c r="D26" s="6">
        <f>(Materials!$D$58+Materials!$D$57)/2</f>
        <v>878.63</v>
      </c>
      <c r="E26" s="6">
        <f>(Materials!$D$58+Materials!$D$57)/2</f>
        <v>878.63</v>
      </c>
      <c r="F26" s="6">
        <f>(Materials!$D$58+Materials!$D$57)/2</f>
        <v>878.63</v>
      </c>
      <c r="G26" s="6">
        <f>Materials!$D$59</f>
        <v>267.41000000000003</v>
      </c>
      <c r="H26" s="6">
        <f>Materials!$D$59</f>
        <v>267.41000000000003</v>
      </c>
      <c r="I26" s="6">
        <f>Materials!$D$60</f>
        <v>689.36</v>
      </c>
      <c r="J26" s="6">
        <f>Materials!$D$60</f>
        <v>689.36</v>
      </c>
      <c r="K26" s="6">
        <f>Materials!$D$60</f>
        <v>689.36</v>
      </c>
      <c r="L26" s="6">
        <f>Materials!$D$61</f>
        <v>225.9</v>
      </c>
      <c r="M26" s="6">
        <f>Materials!$D$61</f>
        <v>225.9</v>
      </c>
      <c r="N26" s="6"/>
      <c r="O26" s="6"/>
      <c r="P26" s="6"/>
      <c r="Q26" s="6"/>
      <c r="R26" s="15"/>
      <c r="S26" s="15"/>
    </row>
    <row r="27" spans="1:19" x14ac:dyDescent="0.25">
      <c r="A27" s="141">
        <f t="shared" si="0"/>
        <v>24</v>
      </c>
      <c r="B27" t="s">
        <v>60</v>
      </c>
      <c r="C27" s="6">
        <f>Materials!$D$3/4</f>
        <v>51.997500000000002</v>
      </c>
      <c r="D27" s="6">
        <f>Materials!$D$3/4</f>
        <v>51.997500000000002</v>
      </c>
      <c r="E27" s="6">
        <f>Materials!$D$3/4</f>
        <v>51.997500000000002</v>
      </c>
      <c r="F27" s="6">
        <f>Materials!$D$3/4</f>
        <v>51.997500000000002</v>
      </c>
      <c r="G27" s="6" t="s">
        <v>37</v>
      </c>
      <c r="H27" s="6" t="s">
        <v>37</v>
      </c>
      <c r="I27" s="6" t="s">
        <v>37</v>
      </c>
      <c r="J27" s="6" t="s">
        <v>37</v>
      </c>
      <c r="K27" s="6" t="s">
        <v>37</v>
      </c>
      <c r="L27" s="6" t="s">
        <v>37</v>
      </c>
      <c r="M27" s="6" t="s">
        <v>37</v>
      </c>
      <c r="N27" s="6"/>
      <c r="O27" s="6"/>
      <c r="P27" s="6"/>
      <c r="Q27" s="6"/>
      <c r="R27" s="15"/>
      <c r="S27" s="15"/>
    </row>
    <row r="28" spans="1:19" x14ac:dyDescent="0.25">
      <c r="A28" s="141">
        <f t="shared" si="0"/>
        <v>25</v>
      </c>
      <c r="B28" t="s">
        <v>61</v>
      </c>
      <c r="C28" s="6">
        <f>Materials!$D$13</f>
        <v>9.59</v>
      </c>
      <c r="D28" s="6">
        <f>Materials!$D$13</f>
        <v>9.59</v>
      </c>
      <c r="E28" s="6">
        <f>Materials!$D$13</f>
        <v>9.59</v>
      </c>
      <c r="F28" s="6">
        <f>Materials!$D$13</f>
        <v>9.59</v>
      </c>
      <c r="G28" s="6">
        <f>Materials!$D$13</f>
        <v>9.59</v>
      </c>
      <c r="H28" s="6">
        <f>Materials!$D$13</f>
        <v>9.59</v>
      </c>
      <c r="I28" s="6">
        <f>Materials!$D$13</f>
        <v>9.59</v>
      </c>
      <c r="J28" s="6">
        <f>Materials!$D$13</f>
        <v>9.59</v>
      </c>
      <c r="K28" s="6">
        <f>Materials!$D$13</f>
        <v>9.59</v>
      </c>
      <c r="L28" s="6">
        <f>Materials!$D$13</f>
        <v>9.59</v>
      </c>
      <c r="M28" s="6">
        <f>Materials!$D$13</f>
        <v>9.59</v>
      </c>
      <c r="N28" s="6"/>
      <c r="O28" s="6"/>
      <c r="P28" s="6"/>
      <c r="Q28" s="6"/>
      <c r="R28" s="15"/>
      <c r="S28" s="15"/>
    </row>
    <row r="29" spans="1:19" x14ac:dyDescent="0.25">
      <c r="A29" s="141">
        <f t="shared" si="0"/>
        <v>26</v>
      </c>
      <c r="B29" t="s">
        <v>62</v>
      </c>
      <c r="C29" s="6">
        <f>Materials!$D$14</f>
        <v>1.55</v>
      </c>
      <c r="D29" s="6">
        <f>Materials!$D$14</f>
        <v>1.55</v>
      </c>
      <c r="E29" s="6">
        <f>Materials!$D$14</f>
        <v>1.55</v>
      </c>
      <c r="F29" s="6">
        <f>Materials!$D$14</f>
        <v>1.55</v>
      </c>
      <c r="G29" s="6">
        <f>Materials!$D$14</f>
        <v>1.55</v>
      </c>
      <c r="H29" s="6">
        <f>Materials!$D$14</f>
        <v>1.55</v>
      </c>
      <c r="I29" s="6">
        <f>Materials!$D$14</f>
        <v>1.55</v>
      </c>
      <c r="J29" s="6">
        <f>Materials!$D$14</f>
        <v>1.55</v>
      </c>
      <c r="K29" s="6">
        <f>Materials!$D$14</f>
        <v>1.55</v>
      </c>
      <c r="L29" s="6">
        <f>Materials!$D$14</f>
        <v>1.55</v>
      </c>
      <c r="M29" s="6">
        <f>Materials!$D$14</f>
        <v>1.55</v>
      </c>
      <c r="N29" s="6"/>
      <c r="O29" s="6"/>
      <c r="P29" s="6"/>
      <c r="Q29" s="6"/>
      <c r="R29" s="15"/>
      <c r="S29" s="15"/>
    </row>
    <row r="30" spans="1:19" x14ac:dyDescent="0.25">
      <c r="A30" s="141">
        <f t="shared" si="0"/>
        <v>27</v>
      </c>
      <c r="B30" t="s">
        <v>180</v>
      </c>
      <c r="C30" s="6">
        <f>Materials!$D$64*5</f>
        <v>1.2</v>
      </c>
      <c r="D30" s="6">
        <f>Materials!$D$64*5</f>
        <v>1.2</v>
      </c>
      <c r="E30" s="6">
        <f>Materials!$D$64*5</f>
        <v>1.2</v>
      </c>
      <c r="F30" s="6">
        <f>Materials!$D$64*5</f>
        <v>1.2</v>
      </c>
      <c r="G30" s="6">
        <f>Materials!$D$64*5</f>
        <v>1.2</v>
      </c>
      <c r="H30" s="6">
        <f>Materials!$D$64*5</f>
        <v>1.2</v>
      </c>
      <c r="I30" s="6">
        <f>Materials!$D$64*5</f>
        <v>1.2</v>
      </c>
      <c r="J30" s="6">
        <f>Materials!$D$64*5</f>
        <v>1.2</v>
      </c>
      <c r="K30" s="6">
        <f>Materials!$D$64*5</f>
        <v>1.2</v>
      </c>
      <c r="L30" s="6">
        <f>Materials!$D$64*5</f>
        <v>1.2</v>
      </c>
      <c r="M30" s="6">
        <f>Materials!$D$64*5</f>
        <v>1.2</v>
      </c>
      <c r="N30" s="6"/>
      <c r="O30" s="6"/>
      <c r="P30" s="6"/>
      <c r="Q30" s="6"/>
      <c r="R30" s="15"/>
      <c r="S30" s="15"/>
    </row>
    <row r="31" spans="1:19" x14ac:dyDescent="0.25">
      <c r="A31" s="141">
        <f t="shared" si="0"/>
        <v>28</v>
      </c>
      <c r="B31" t="s">
        <v>63</v>
      </c>
      <c r="C31" s="6">
        <f>28/4</f>
        <v>7</v>
      </c>
      <c r="D31" s="6">
        <f t="shared" ref="D31:F31" si="1">28/4</f>
        <v>7</v>
      </c>
      <c r="E31" s="6">
        <f t="shared" si="1"/>
        <v>7</v>
      </c>
      <c r="F31" s="6">
        <f t="shared" si="1"/>
        <v>7</v>
      </c>
      <c r="G31" s="6" t="s">
        <v>37</v>
      </c>
      <c r="H31" s="6" t="s">
        <v>37</v>
      </c>
      <c r="I31" s="6" t="s">
        <v>37</v>
      </c>
      <c r="J31" s="6" t="s">
        <v>37</v>
      </c>
      <c r="K31" s="6" t="s">
        <v>37</v>
      </c>
      <c r="L31" s="6" t="s">
        <v>37</v>
      </c>
      <c r="M31" s="6" t="s">
        <v>37</v>
      </c>
      <c r="N31" s="6"/>
      <c r="O31" s="6"/>
      <c r="P31" s="6"/>
      <c r="Q31" s="6"/>
      <c r="R31" s="15"/>
      <c r="S31" s="15"/>
    </row>
    <row r="32" spans="1:19" x14ac:dyDescent="0.25">
      <c r="A32" s="141">
        <f t="shared" si="0"/>
        <v>29</v>
      </c>
      <c r="B32" t="s">
        <v>571</v>
      </c>
      <c r="C32" s="6">
        <f>((Materials!$D$64*40)+(Materials!$D$66*40))/2</f>
        <v>11.8</v>
      </c>
      <c r="D32" s="6">
        <f>((Materials!$D$64*40)+(Materials!$D$66*40))/2</f>
        <v>11.8</v>
      </c>
      <c r="E32" s="6">
        <f>((Materials!$D$64*40)+(Materials!$D$66*40))/2</f>
        <v>11.8</v>
      </c>
      <c r="F32" s="6">
        <f>((Materials!$D$64*40)+(Materials!$D$66*40))/2</f>
        <v>11.8</v>
      </c>
      <c r="G32" s="6">
        <f>Materials!$D$66*20</f>
        <v>7</v>
      </c>
      <c r="H32" s="6">
        <f>Materials!$D$66*20</f>
        <v>7</v>
      </c>
      <c r="I32" s="6">
        <f>Materials!$D$66*40</f>
        <v>14</v>
      </c>
      <c r="J32" s="6">
        <f>Materials!$D$66*40</f>
        <v>14</v>
      </c>
      <c r="K32" s="6">
        <f>Materials!$D$66*40</f>
        <v>14</v>
      </c>
      <c r="L32" s="6">
        <f>Materials!$D$66*15</f>
        <v>5.25</v>
      </c>
      <c r="M32" s="6">
        <f>Materials!$D$66*15</f>
        <v>5.25</v>
      </c>
      <c r="N32" s="6"/>
      <c r="O32" s="6"/>
      <c r="P32" s="6"/>
      <c r="Q32" s="6"/>
      <c r="R32" s="15"/>
      <c r="S32" s="15"/>
    </row>
    <row r="33" spans="1:20" x14ac:dyDescent="0.25">
      <c r="A33" s="141">
        <f t="shared" si="0"/>
        <v>30</v>
      </c>
      <c r="B33" t="s">
        <v>64</v>
      </c>
      <c r="C33" s="6">
        <f>Materials!$D$47</f>
        <v>0.62</v>
      </c>
      <c r="D33" s="6">
        <f>Materials!$D$47</f>
        <v>0.62</v>
      </c>
      <c r="E33" s="6">
        <f>Materials!$D$47</f>
        <v>0.62</v>
      </c>
      <c r="F33" s="6">
        <f>Materials!$D$47</f>
        <v>0.62</v>
      </c>
      <c r="G33" s="6">
        <f>Materials!$D$47</f>
        <v>0.62</v>
      </c>
      <c r="H33" s="6">
        <f>Materials!$D$47</f>
        <v>0.62</v>
      </c>
      <c r="I33" s="6">
        <f>Materials!$D$47</f>
        <v>0.62</v>
      </c>
      <c r="J33" s="6">
        <f>Materials!$D$47</f>
        <v>0.62</v>
      </c>
      <c r="K33" s="6">
        <f>Materials!$D$47</f>
        <v>0.62</v>
      </c>
      <c r="L33" s="6">
        <f>Materials!$D$47</f>
        <v>0.62</v>
      </c>
      <c r="M33" s="6">
        <f>Materials!$D$47</f>
        <v>0.62</v>
      </c>
      <c r="N33" s="6"/>
      <c r="O33" s="6"/>
      <c r="P33" s="6"/>
      <c r="Q33" s="6"/>
      <c r="R33" s="15"/>
      <c r="S33" s="15"/>
    </row>
    <row r="34" spans="1:20" x14ac:dyDescent="0.25">
      <c r="A34" s="141">
        <f t="shared" si="0"/>
        <v>31</v>
      </c>
      <c r="B34" t="s">
        <v>221</v>
      </c>
      <c r="C34" s="32">
        <f>SUM(Materials!$D$10,Materials!$D$11,Materials!$D$12)</f>
        <v>32.299999999999997</v>
      </c>
      <c r="D34" s="32">
        <f>SUM(Materials!$D$10,Materials!$D$11,Materials!$D$12)</f>
        <v>32.299999999999997</v>
      </c>
      <c r="E34" s="32">
        <f>SUM(Materials!$D$10,Materials!$D$11,Materials!$D$12)</f>
        <v>32.299999999999997</v>
      </c>
      <c r="F34" s="32">
        <f>SUM(Materials!$D$10,Materials!$D$11,Materials!$D$12)</f>
        <v>32.299999999999997</v>
      </c>
      <c r="G34" s="32">
        <f>SUM(Materials!$D$10,Materials!$D$11,Materials!$D$12)</f>
        <v>32.299999999999997</v>
      </c>
      <c r="H34" s="32">
        <f>SUM(Materials!$D$10,Materials!$D$11,Materials!$D$12)</f>
        <v>32.299999999999997</v>
      </c>
      <c r="I34" s="32">
        <f>SUM(Materials!$D$10,Materials!$D$11,Materials!$D$12)</f>
        <v>32.299999999999997</v>
      </c>
      <c r="J34" s="32">
        <f>SUM(Materials!$D$10,Materials!$D$11,Materials!$D$12)</f>
        <v>32.299999999999997</v>
      </c>
      <c r="K34" s="32">
        <f>SUM(Materials!$D$10,Materials!$D$11,Materials!$D$12)</f>
        <v>32.299999999999997</v>
      </c>
      <c r="L34" s="32">
        <f>SUM(Materials!$D$10,Materials!$D$11,Materials!$D$12)</f>
        <v>32.299999999999997</v>
      </c>
      <c r="M34" s="32">
        <f>SUM(Materials!$D$10,Materials!$D$11,Materials!$D$12)</f>
        <v>32.299999999999997</v>
      </c>
      <c r="N34" s="32"/>
      <c r="O34" s="32"/>
      <c r="P34" s="32"/>
      <c r="Q34" s="32"/>
      <c r="R34" s="15"/>
      <c r="S34" s="15"/>
    </row>
    <row r="35" spans="1:20" x14ac:dyDescent="0.25">
      <c r="A35" s="141">
        <f t="shared" si="0"/>
        <v>32</v>
      </c>
      <c r="B35" t="s">
        <v>65</v>
      </c>
      <c r="C35" s="6" t="s">
        <v>37</v>
      </c>
      <c r="D35" s="6" t="s">
        <v>37</v>
      </c>
      <c r="E35" s="6" t="s">
        <v>37</v>
      </c>
      <c r="F35" s="6" t="s">
        <v>37</v>
      </c>
      <c r="G35" s="6" t="s">
        <v>37</v>
      </c>
      <c r="H35" s="6" t="s">
        <v>37</v>
      </c>
      <c r="I35" s="6" t="s">
        <v>37</v>
      </c>
      <c r="J35" s="6" t="s">
        <v>37</v>
      </c>
      <c r="K35" s="6" t="s">
        <v>37</v>
      </c>
      <c r="L35" s="6" t="s">
        <v>37</v>
      </c>
      <c r="M35" s="6" t="s">
        <v>37</v>
      </c>
      <c r="N35" s="6"/>
      <c r="O35" s="6"/>
      <c r="P35" s="6"/>
      <c r="Q35" s="6"/>
      <c r="R35" s="15"/>
      <c r="S35" s="15"/>
    </row>
    <row r="36" spans="1:20" x14ac:dyDescent="0.25">
      <c r="A36" s="141">
        <f t="shared" si="0"/>
        <v>33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5"/>
      <c r="S36" s="15"/>
    </row>
    <row r="37" spans="1:20" x14ac:dyDescent="0.25">
      <c r="A37" s="141">
        <f t="shared" si="0"/>
        <v>34</v>
      </c>
      <c r="B37" s="3" t="s">
        <v>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5"/>
      <c r="S37" s="15"/>
    </row>
    <row r="38" spans="1:20" x14ac:dyDescent="0.25">
      <c r="A38" s="141">
        <f t="shared" si="0"/>
        <v>35</v>
      </c>
      <c r="B38" t="s">
        <v>181</v>
      </c>
      <c r="C38" s="6">
        <f>((Materials!$D$66*200)+(Materials!$D$64*200))/2</f>
        <v>59</v>
      </c>
      <c r="D38" s="6">
        <f>((Materials!$D$66*200)+(Materials!$D$64*200))/2</f>
        <v>59</v>
      </c>
      <c r="E38" s="6">
        <f>((Materials!$D$66*200)+(Materials!$D$64*200))/2</f>
        <v>59</v>
      </c>
      <c r="F38" s="6">
        <f>((Materials!$D$66*200)+(Materials!$D$64*200))/2</f>
        <v>59</v>
      </c>
      <c r="G38" s="6">
        <f>Materials!$D$64*200</f>
        <v>48</v>
      </c>
      <c r="H38" s="6">
        <f>Materials!$D$64*200</f>
        <v>48</v>
      </c>
      <c r="I38" s="6">
        <f>Materials!$D$64*200</f>
        <v>48</v>
      </c>
      <c r="J38" s="6">
        <f>Materials!$D$64*200</f>
        <v>48</v>
      </c>
      <c r="K38" s="6">
        <f>Materials!$D$64*200</f>
        <v>48</v>
      </c>
      <c r="L38" s="6">
        <f>Materials!$D$66*200</f>
        <v>70</v>
      </c>
      <c r="M38" s="6">
        <f>Materials!$D$66*200</f>
        <v>70</v>
      </c>
      <c r="N38" s="6"/>
      <c r="O38" s="6"/>
      <c r="P38" s="6"/>
      <c r="Q38" s="6"/>
      <c r="R38" s="15"/>
      <c r="S38" s="15"/>
    </row>
    <row r="39" spans="1:20" x14ac:dyDescent="0.25">
      <c r="A39" s="141">
        <f t="shared" si="0"/>
        <v>36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4"/>
      <c r="S39" s="14"/>
    </row>
    <row r="40" spans="1:20" x14ac:dyDescent="0.25">
      <c r="A40" s="141">
        <f t="shared" si="0"/>
        <v>37</v>
      </c>
      <c r="B40" s="3" t="s">
        <v>70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14"/>
      <c r="S40" s="14"/>
    </row>
    <row r="41" spans="1:20" x14ac:dyDescent="0.25">
      <c r="A41" s="141">
        <f t="shared" si="0"/>
        <v>38</v>
      </c>
      <c r="B41" t="s">
        <v>67</v>
      </c>
      <c r="C41" s="6">
        <f>SUM(Materials!$D$62:$D$63)/2</f>
        <v>100.01</v>
      </c>
      <c r="D41" s="6">
        <f>SUM(Materials!$D$62:$D$63)/2</f>
        <v>100.01</v>
      </c>
      <c r="E41" s="6">
        <f>SUM(Materials!$D$62:$D$63)/2</f>
        <v>100.01</v>
      </c>
      <c r="F41" s="6">
        <f>SUM(Materials!$D$62:$D$63)/2</f>
        <v>100.01</v>
      </c>
      <c r="G41" s="6">
        <f>Materials!$D$62</f>
        <v>34.869999999999997</v>
      </c>
      <c r="H41" s="6">
        <f>Materials!$D$62</f>
        <v>34.869999999999997</v>
      </c>
      <c r="I41" s="6">
        <f>Materials!$D$62</f>
        <v>34.869999999999997</v>
      </c>
      <c r="J41" s="6">
        <f>Materials!$D$62</f>
        <v>34.869999999999997</v>
      </c>
      <c r="K41" s="6">
        <f>Materials!$D$62</f>
        <v>34.869999999999997</v>
      </c>
      <c r="L41" s="6">
        <f>Materials!$D$62</f>
        <v>34.869999999999997</v>
      </c>
      <c r="M41" s="6">
        <f>Materials!$D$62</f>
        <v>34.869999999999997</v>
      </c>
      <c r="N41" s="6"/>
      <c r="O41" s="6"/>
      <c r="P41" s="6"/>
      <c r="Q41" s="6"/>
      <c r="R41" s="15"/>
      <c r="S41" s="15"/>
      <c r="T41" s="4"/>
    </row>
    <row r="42" spans="1:20" x14ac:dyDescent="0.25">
      <c r="A42" s="141">
        <f t="shared" si="0"/>
        <v>39</v>
      </c>
      <c r="B42" t="s">
        <v>68</v>
      </c>
      <c r="C42" s="6">
        <f>'Materials+LaborUnits'!$D$24/2</f>
        <v>37.5</v>
      </c>
      <c r="D42" s="6">
        <f>'Materials+LaborUnits'!$D$24/2</f>
        <v>37.5</v>
      </c>
      <c r="E42" s="6">
        <f>'Materials+LaborUnits'!$D$24/2</f>
        <v>37.5</v>
      </c>
      <c r="F42" s="6">
        <f>'Materials+LaborUnits'!$D$24/2</f>
        <v>37.5</v>
      </c>
      <c r="G42" s="6" t="s">
        <v>37</v>
      </c>
      <c r="H42" s="6" t="s">
        <v>37</v>
      </c>
      <c r="I42" s="6" t="s">
        <v>37</v>
      </c>
      <c r="J42" s="6" t="s">
        <v>37</v>
      </c>
      <c r="K42" s="6" t="s">
        <v>37</v>
      </c>
      <c r="L42" s="6" t="s">
        <v>37</v>
      </c>
      <c r="M42" s="6" t="s">
        <v>37</v>
      </c>
      <c r="N42" s="6"/>
      <c r="O42" s="6"/>
      <c r="P42" s="6"/>
      <c r="Q42" s="6"/>
      <c r="R42" s="15"/>
      <c r="S42" s="15"/>
    </row>
    <row r="43" spans="1:20" x14ac:dyDescent="0.25">
      <c r="A43" s="141">
        <f t="shared" si="0"/>
        <v>40</v>
      </c>
      <c r="B43" t="s">
        <v>69</v>
      </c>
      <c r="C43" s="6">
        <f>'Materials+LaborUnits'!$D$25/2</f>
        <v>157</v>
      </c>
      <c r="D43" s="6">
        <f>'Materials+LaborUnits'!$D$25/2</f>
        <v>157</v>
      </c>
      <c r="E43" s="6">
        <f>'Materials+LaborUnits'!$D$25/2</f>
        <v>157</v>
      </c>
      <c r="F43" s="6">
        <f>'Materials+LaborUnits'!$D$25/2</f>
        <v>157</v>
      </c>
      <c r="G43" s="6" t="s">
        <v>37</v>
      </c>
      <c r="H43" s="6" t="s">
        <v>37</v>
      </c>
      <c r="I43" s="6" t="s">
        <v>37</v>
      </c>
      <c r="J43" s="6" t="s">
        <v>37</v>
      </c>
      <c r="K43" s="6" t="s">
        <v>37</v>
      </c>
      <c r="L43" s="6" t="s">
        <v>37</v>
      </c>
      <c r="M43" s="6" t="s">
        <v>37</v>
      </c>
      <c r="N43" s="6"/>
      <c r="O43" s="6"/>
      <c r="P43" s="6"/>
      <c r="Q43" s="6"/>
      <c r="R43" s="15"/>
      <c r="S43" s="15"/>
    </row>
    <row r="44" spans="1:20" x14ac:dyDescent="0.25">
      <c r="A44" s="141">
        <f t="shared" si="0"/>
        <v>41</v>
      </c>
      <c r="B44" t="s">
        <v>184</v>
      </c>
      <c r="C44" s="6">
        <f>(('Materials+LaborUnits'!$D$26*200)+'Materials+LaborUnits'!$D$27*200)/2</f>
        <v>96</v>
      </c>
      <c r="D44" s="6">
        <f>(('Materials+LaborUnits'!$D$26*200)+'Materials+LaborUnits'!$D$27*200)/2</f>
        <v>96</v>
      </c>
      <c r="E44" s="6">
        <f>(('Materials+LaborUnits'!$D$26*200)+'Materials+LaborUnits'!$D$27*200)/2</f>
        <v>96</v>
      </c>
      <c r="F44" s="6">
        <f>(('Materials+LaborUnits'!$D$26*200)+'Materials+LaborUnits'!$D$27*200)/2</f>
        <v>96</v>
      </c>
      <c r="G44" s="6">
        <f>Materials!$D$7*200</f>
        <v>64</v>
      </c>
      <c r="H44" s="6">
        <f>Materials!$D$7*200</f>
        <v>64</v>
      </c>
      <c r="I44" s="6">
        <f>Materials!$D$7*200</f>
        <v>64</v>
      </c>
      <c r="J44" s="6">
        <f>Materials!$D$7*200</f>
        <v>64</v>
      </c>
      <c r="K44" s="6">
        <f>Materials!$D$7*200</f>
        <v>64</v>
      </c>
      <c r="L44" s="6">
        <f>Materials!$D$7*200</f>
        <v>64</v>
      </c>
      <c r="M44" s="6">
        <f>Materials!$D$7*200</f>
        <v>64</v>
      </c>
      <c r="N44" s="6"/>
      <c r="O44" s="6"/>
      <c r="P44" s="6"/>
      <c r="Q44" s="6"/>
      <c r="R44" s="15"/>
      <c r="S44" s="15"/>
    </row>
    <row r="45" spans="1:20" x14ac:dyDescent="0.25">
      <c r="A45" s="141">
        <f t="shared" si="0"/>
        <v>42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14"/>
      <c r="S45" s="14"/>
    </row>
    <row r="46" spans="1:20" x14ac:dyDescent="0.25">
      <c r="A46" s="141">
        <f t="shared" si="0"/>
        <v>43</v>
      </c>
      <c r="B46" s="2" t="s">
        <v>45</v>
      </c>
      <c r="C46" s="13">
        <f t="shared" ref="C46:M46" si="2">SUM(C41:C44,C38,C26:C35,C22:C23,C17:C19)</f>
        <v>1665.0424999999996</v>
      </c>
      <c r="D46" s="13">
        <f t="shared" si="2"/>
        <v>1670.5424999999996</v>
      </c>
      <c r="E46" s="13">
        <f t="shared" si="2"/>
        <v>1725.5424999999996</v>
      </c>
      <c r="F46" s="13">
        <f t="shared" si="2"/>
        <v>1824.5424999999996</v>
      </c>
      <c r="G46" s="13">
        <f t="shared" si="2"/>
        <v>743.1400000000001</v>
      </c>
      <c r="H46" s="13">
        <f t="shared" si="2"/>
        <v>770.6400000000001</v>
      </c>
      <c r="I46" s="13">
        <f t="shared" si="2"/>
        <v>1427.1</v>
      </c>
      <c r="J46" s="13">
        <f t="shared" si="2"/>
        <v>1593.1999999999998</v>
      </c>
      <c r="K46" s="13">
        <f t="shared" si="2"/>
        <v>1813.1999999999998</v>
      </c>
      <c r="L46" s="13">
        <f t="shared" si="2"/>
        <v>776.88</v>
      </c>
      <c r="M46" s="13">
        <f t="shared" si="2"/>
        <v>749.38</v>
      </c>
      <c r="N46" s="13"/>
      <c r="O46" s="13"/>
      <c r="P46" s="13"/>
      <c r="Q46" s="13"/>
      <c r="R46" s="16"/>
      <c r="S46" s="16"/>
    </row>
    <row r="47" spans="1:20" x14ac:dyDescent="0.25">
      <c r="A47" s="141">
        <f t="shared" si="0"/>
        <v>44</v>
      </c>
      <c r="B47" s="2" t="s">
        <v>46</v>
      </c>
      <c r="C47" s="12">
        <f>1+'Materials+LaborUnits'!$D$29</f>
        <v>1.1839500000000001</v>
      </c>
      <c r="D47" s="12">
        <f>1+'Materials+LaborUnits'!$D$29</f>
        <v>1.1839500000000001</v>
      </c>
      <c r="E47" s="12">
        <f>1+'Materials+LaborUnits'!$D$29</f>
        <v>1.1839500000000001</v>
      </c>
      <c r="F47" s="12">
        <f>1+'Materials+LaborUnits'!$D$29</f>
        <v>1.1839500000000001</v>
      </c>
      <c r="G47" s="12">
        <f>1+'Materials+LaborUnits'!$D$29</f>
        <v>1.1839500000000001</v>
      </c>
      <c r="H47" s="12">
        <f>1+'Materials+LaborUnits'!$D$29</f>
        <v>1.1839500000000001</v>
      </c>
      <c r="I47" s="12">
        <f>1+'Materials+LaborUnits'!$D$29</f>
        <v>1.1839500000000001</v>
      </c>
      <c r="J47" s="12">
        <f>1+'Materials+LaborUnits'!$D$29</f>
        <v>1.1839500000000001</v>
      </c>
      <c r="K47" s="12">
        <f>1+'Materials+LaborUnits'!$D$29</f>
        <v>1.1839500000000001</v>
      </c>
      <c r="L47" s="12">
        <f>1+'Materials+LaborUnits'!$D$29</f>
        <v>1.1839500000000001</v>
      </c>
      <c r="M47" s="12">
        <f>1+'Materials+LaborUnits'!$D$29</f>
        <v>1.1839500000000001</v>
      </c>
      <c r="N47" s="12">
        <f>1+'Materials+LaborUnits'!$D$29</f>
        <v>1.1839500000000001</v>
      </c>
      <c r="O47" s="12">
        <f>1+'Materials+LaborUnits'!$D$29</f>
        <v>1.1839500000000001</v>
      </c>
      <c r="P47" s="12">
        <f>1+'Materials+LaborUnits'!$D$29</f>
        <v>1.1839500000000001</v>
      </c>
      <c r="Q47" s="12">
        <f>1+'Materials+LaborUnits'!$D$29</f>
        <v>1.1839500000000001</v>
      </c>
      <c r="R47" s="17"/>
      <c r="S47" s="17"/>
    </row>
    <row r="48" spans="1:20" x14ac:dyDescent="0.25">
      <c r="A48" s="141">
        <f t="shared" si="0"/>
        <v>45</v>
      </c>
      <c r="B48" s="1" t="s">
        <v>49</v>
      </c>
      <c r="C48" s="13">
        <f t="shared" ref="C48:M48" si="3">C46*C47</f>
        <v>1971.3270678749996</v>
      </c>
      <c r="D48" s="13">
        <f t="shared" si="3"/>
        <v>1977.8387928749996</v>
      </c>
      <c r="E48" s="13">
        <f t="shared" si="3"/>
        <v>2042.9560428749996</v>
      </c>
      <c r="F48" s="13">
        <f t="shared" si="3"/>
        <v>2160.1670928749995</v>
      </c>
      <c r="G48" s="13">
        <f t="shared" si="3"/>
        <v>879.84060300000021</v>
      </c>
      <c r="H48" s="13">
        <f t="shared" si="3"/>
        <v>912.39922800000011</v>
      </c>
      <c r="I48" s="13">
        <f t="shared" si="3"/>
        <v>1689.615045</v>
      </c>
      <c r="J48" s="13">
        <f t="shared" si="3"/>
        <v>1886.2691399999999</v>
      </c>
      <c r="K48" s="13">
        <f t="shared" si="3"/>
        <v>2146.7381399999999</v>
      </c>
      <c r="L48" s="13">
        <f t="shared" si="3"/>
        <v>919.78707600000007</v>
      </c>
      <c r="M48" s="13">
        <f t="shared" si="3"/>
        <v>887.22845100000006</v>
      </c>
      <c r="N48" s="13"/>
      <c r="O48" s="13"/>
      <c r="P48" s="13"/>
      <c r="Q48" s="13"/>
      <c r="R48" s="16"/>
      <c r="S48" s="16"/>
    </row>
    <row r="49" spans="1:20" x14ac:dyDescent="0.25">
      <c r="A49" s="141">
        <f t="shared" si="0"/>
        <v>46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14"/>
      <c r="S49" s="14"/>
    </row>
    <row r="50" spans="1:20" x14ac:dyDescent="0.25">
      <c r="A50" s="141">
        <f t="shared" si="0"/>
        <v>47</v>
      </c>
      <c r="B50" s="7" t="s">
        <v>8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14"/>
      <c r="S50" s="14"/>
    </row>
    <row r="51" spans="1:20" x14ac:dyDescent="0.25">
      <c r="A51" s="141">
        <f t="shared" si="0"/>
        <v>48</v>
      </c>
      <c r="B51" t="s">
        <v>50</v>
      </c>
      <c r="C51" s="13">
        <f>'Materials+LaborUnits'!$D$30</f>
        <v>92.68</v>
      </c>
      <c r="D51" s="13">
        <f>'Materials+LaborUnits'!$D$30</f>
        <v>92.68</v>
      </c>
      <c r="E51" s="13">
        <f>'Materials+LaborUnits'!$D$30</f>
        <v>92.68</v>
      </c>
      <c r="F51" s="13">
        <f>'Materials+LaborUnits'!$D$30</f>
        <v>92.68</v>
      </c>
      <c r="G51" s="13">
        <f>'Materials+LaborUnits'!$D$30</f>
        <v>92.68</v>
      </c>
      <c r="H51" s="13">
        <f>'Materials+LaborUnits'!$D$30</f>
        <v>92.68</v>
      </c>
      <c r="I51" s="13">
        <f>'Materials+LaborUnits'!$D$30</f>
        <v>92.68</v>
      </c>
      <c r="J51" s="13">
        <f>'Materials+LaborUnits'!$D$30</f>
        <v>92.68</v>
      </c>
      <c r="K51" s="13">
        <f>'Materials+LaborUnits'!$D$30</f>
        <v>92.68</v>
      </c>
      <c r="L51" s="13">
        <f>'Materials+LaborUnits'!$D$30</f>
        <v>92.68</v>
      </c>
      <c r="M51" s="13">
        <f>'Materials+LaborUnits'!$D$30</f>
        <v>92.68</v>
      </c>
      <c r="N51" s="13">
        <f>'Materials+LaborUnits'!$D$30</f>
        <v>92.68</v>
      </c>
      <c r="O51" s="13">
        <f>'Materials+LaborUnits'!$D$30</f>
        <v>92.68</v>
      </c>
      <c r="P51" s="13">
        <f>'Materials+LaborUnits'!$D$30</f>
        <v>92.68</v>
      </c>
      <c r="Q51" s="13">
        <f>'Materials+LaborUnits'!$D$30</f>
        <v>92.68</v>
      </c>
      <c r="R51" s="16"/>
      <c r="S51" s="16"/>
    </row>
    <row r="52" spans="1:20" x14ac:dyDescent="0.25">
      <c r="A52" s="141">
        <f t="shared" si="0"/>
        <v>49</v>
      </c>
      <c r="B52" t="s">
        <v>51</v>
      </c>
      <c r="C52" s="13">
        <f>'Materials+LaborUnits'!$D$32*200</f>
        <v>88</v>
      </c>
      <c r="D52" s="13">
        <f>'Materials+LaborUnits'!$D$32*200</f>
        <v>88</v>
      </c>
      <c r="E52" s="13">
        <f>'Materials+LaborUnits'!$D$32*200</f>
        <v>88</v>
      </c>
      <c r="F52" s="13">
        <f>'Materials+LaborUnits'!$D$32*200</f>
        <v>88</v>
      </c>
      <c r="G52" s="13">
        <f>'Materials+LaborUnits'!$D$32*200</f>
        <v>88</v>
      </c>
      <c r="H52" s="13">
        <f>'Materials+LaborUnits'!$D$32*200</f>
        <v>88</v>
      </c>
      <c r="I52" s="13">
        <f>'Materials+LaborUnits'!$D$32*200</f>
        <v>88</v>
      </c>
      <c r="J52" s="13">
        <f>'Materials+LaborUnits'!$D$32*200</f>
        <v>88</v>
      </c>
      <c r="K52" s="13">
        <f>'Materials+LaborUnits'!$D$32*200</f>
        <v>88</v>
      </c>
      <c r="L52" s="13">
        <f>'Materials+LaborUnits'!$D$32*200</f>
        <v>88</v>
      </c>
      <c r="M52" s="13">
        <f>'Materials+LaborUnits'!$D$32*200</f>
        <v>88</v>
      </c>
      <c r="N52" s="13"/>
      <c r="O52" s="13"/>
      <c r="P52" s="13"/>
      <c r="Q52" s="13"/>
      <c r="R52" s="16"/>
      <c r="S52" s="16"/>
    </row>
    <row r="53" spans="1:20" x14ac:dyDescent="0.25">
      <c r="A53" s="141">
        <f t="shared" si="0"/>
        <v>50</v>
      </c>
      <c r="B53" t="s">
        <v>190</v>
      </c>
      <c r="C53" s="13">
        <f>('Materials+LaborUnits'!$D$36+'Materials+LaborUnits'!$D$37)/2</f>
        <v>150.26</v>
      </c>
      <c r="D53" s="13">
        <f>('Materials+LaborUnits'!$D$36+'Materials+LaborUnits'!$D$37)/2</f>
        <v>150.26</v>
      </c>
      <c r="E53" s="13">
        <f>('Materials+LaborUnits'!$D$36+'Materials+LaborUnits'!$D$37)/2</f>
        <v>150.26</v>
      </c>
      <c r="F53" s="13">
        <f>('Materials+LaborUnits'!$D$36+'Materials+LaborUnits'!$D$37)/2</f>
        <v>150.26</v>
      </c>
      <c r="G53" s="13">
        <f>'Materials+LaborUnits'!$D$38</f>
        <v>86.76</v>
      </c>
      <c r="H53" s="13">
        <f>'Materials+LaborUnits'!$D$38</f>
        <v>86.76</v>
      </c>
      <c r="I53" s="13">
        <f>'Materials+LaborUnits'!$D$36</f>
        <v>157.93</v>
      </c>
      <c r="J53" s="13">
        <f>'Materials+LaborUnits'!$D$36</f>
        <v>157.93</v>
      </c>
      <c r="K53" s="13">
        <f>'Materials+LaborUnits'!$D$36</f>
        <v>157.93</v>
      </c>
      <c r="L53" s="13">
        <f>'Materials+LaborUnits'!$D$38</f>
        <v>86.76</v>
      </c>
      <c r="M53" s="13">
        <f>'Materials+LaborUnits'!$D$38</f>
        <v>86.76</v>
      </c>
      <c r="N53" s="13"/>
      <c r="O53" s="13"/>
      <c r="P53" s="13"/>
      <c r="Q53" s="13"/>
      <c r="R53" s="16"/>
      <c r="S53" s="16"/>
    </row>
    <row r="54" spans="1:20" x14ac:dyDescent="0.25">
      <c r="A54" s="141">
        <f t="shared" si="0"/>
        <v>51</v>
      </c>
      <c r="B54" s="2" t="s">
        <v>71</v>
      </c>
      <c r="C54" s="13">
        <f>'Materials+LaborUnits'!$D$40/2</f>
        <v>214.47499999999999</v>
      </c>
      <c r="D54" s="13">
        <f>'Materials+LaborUnits'!$D$40/2</f>
        <v>214.47499999999999</v>
      </c>
      <c r="E54" s="13">
        <f>'Materials+LaborUnits'!$D$40/2</f>
        <v>214.47499999999999</v>
      </c>
      <c r="F54" s="13">
        <f>'Materials+LaborUnits'!$D$40/2</f>
        <v>214.47499999999999</v>
      </c>
      <c r="G54" s="13" t="s">
        <v>37</v>
      </c>
      <c r="H54" s="13" t="s">
        <v>37</v>
      </c>
      <c r="I54" s="13" t="s">
        <v>37</v>
      </c>
      <c r="J54" s="13" t="s">
        <v>37</v>
      </c>
      <c r="K54" s="13" t="s">
        <v>37</v>
      </c>
      <c r="L54" s="13" t="s">
        <v>37</v>
      </c>
      <c r="M54" s="13" t="s">
        <v>37</v>
      </c>
      <c r="N54" s="13"/>
      <c r="O54" s="13"/>
      <c r="P54" s="13"/>
      <c r="Q54" s="13"/>
      <c r="R54" s="16"/>
      <c r="S54" s="16"/>
    </row>
    <row r="55" spans="1:20" x14ac:dyDescent="0.25">
      <c r="A55" s="141">
        <f t="shared" si="0"/>
        <v>52</v>
      </c>
      <c r="B55" t="s">
        <v>72</v>
      </c>
      <c r="C55" s="13">
        <f>'Materials+LaborUnits'!$D$34</f>
        <v>23.57</v>
      </c>
      <c r="D55" s="13">
        <f>'Materials+LaborUnits'!$D$34</f>
        <v>23.57</v>
      </c>
      <c r="E55" s="13">
        <f>'Materials+LaborUnits'!$D$34</f>
        <v>23.57</v>
      </c>
      <c r="F55" s="13">
        <f>'Materials+LaborUnits'!$D$34</f>
        <v>23.57</v>
      </c>
      <c r="G55" s="13">
        <f>'Materials+LaborUnits'!$D$34</f>
        <v>23.57</v>
      </c>
      <c r="H55" s="13">
        <f>'Materials+LaborUnits'!$D$34</f>
        <v>23.57</v>
      </c>
      <c r="I55" s="13">
        <f>'Materials+LaborUnits'!$D$34</f>
        <v>23.57</v>
      </c>
      <c r="J55" s="13">
        <f>'Materials+LaborUnits'!$D$34</f>
        <v>23.57</v>
      </c>
      <c r="K55" s="13">
        <f>'Materials+LaborUnits'!$D$34</f>
        <v>23.57</v>
      </c>
      <c r="L55" s="13">
        <f>'Materials+LaborUnits'!$D$34</f>
        <v>23.57</v>
      </c>
      <c r="M55" s="13">
        <f>'Materials+LaborUnits'!$D$34</f>
        <v>23.57</v>
      </c>
      <c r="N55" s="13"/>
      <c r="O55" s="13"/>
      <c r="P55" s="13"/>
      <c r="Q55" s="13"/>
      <c r="R55" s="16"/>
      <c r="S55" s="16"/>
    </row>
    <row r="56" spans="1:20" x14ac:dyDescent="0.25">
      <c r="A56" s="141">
        <f t="shared" si="0"/>
        <v>53</v>
      </c>
      <c r="B56" t="s">
        <v>73</v>
      </c>
      <c r="C56" s="13">
        <f>'Materials+LaborUnits'!$D$35</f>
        <v>35.64</v>
      </c>
      <c r="D56" s="13">
        <f>'Materials+LaborUnits'!$D$35</f>
        <v>35.64</v>
      </c>
      <c r="E56" s="13">
        <f>'Materials+LaborUnits'!$D$35</f>
        <v>35.64</v>
      </c>
      <c r="F56" s="13">
        <f>'Materials+LaborUnits'!$D$35</f>
        <v>35.64</v>
      </c>
      <c r="G56" s="13">
        <f>'Materials+LaborUnits'!$D$35</f>
        <v>35.64</v>
      </c>
      <c r="H56" s="13">
        <f>'Materials+LaborUnits'!$D$35</f>
        <v>35.64</v>
      </c>
      <c r="I56" s="13">
        <f>'Materials+LaborUnits'!$D$35</f>
        <v>35.64</v>
      </c>
      <c r="J56" s="13">
        <f>'Materials+LaborUnits'!$D$35</f>
        <v>35.64</v>
      </c>
      <c r="K56" s="13">
        <f>'Materials+LaborUnits'!$D$35</f>
        <v>35.64</v>
      </c>
      <c r="L56" s="13">
        <f>'Materials+LaborUnits'!$D$35</f>
        <v>35.64</v>
      </c>
      <c r="M56" s="13">
        <f>'Materials+LaborUnits'!$D$35</f>
        <v>35.64</v>
      </c>
      <c r="N56" s="13"/>
      <c r="O56" s="13"/>
      <c r="P56" s="13"/>
      <c r="Q56" s="13"/>
      <c r="R56" s="16"/>
      <c r="S56" s="16"/>
    </row>
    <row r="57" spans="1:20" x14ac:dyDescent="0.25">
      <c r="A57" s="141">
        <f t="shared" si="0"/>
        <v>54</v>
      </c>
      <c r="B57" t="s">
        <v>74</v>
      </c>
      <c r="C57" s="6">
        <f>'Materials+LaborUnits'!$D$41</f>
        <v>702</v>
      </c>
      <c r="D57" s="6">
        <f>'Materials+LaborUnits'!$D$41</f>
        <v>702</v>
      </c>
      <c r="E57" s="6">
        <f>'Materials+LaborUnits'!$D$41</f>
        <v>702</v>
      </c>
      <c r="F57" s="6">
        <f>'Materials+LaborUnits'!$D$41</f>
        <v>702</v>
      </c>
      <c r="G57" s="6">
        <f>'Materials+LaborUnits'!$D$41</f>
        <v>702</v>
      </c>
      <c r="H57" s="6">
        <f>'Materials+LaborUnits'!$D$41</f>
        <v>702</v>
      </c>
      <c r="I57" s="6">
        <f>'Materials+LaborUnits'!$D$41</f>
        <v>702</v>
      </c>
      <c r="J57" s="6">
        <f>'Materials+LaborUnits'!$D$41</f>
        <v>702</v>
      </c>
      <c r="K57" s="6">
        <f>'Materials+LaborUnits'!$D$41</f>
        <v>702</v>
      </c>
      <c r="L57" s="6">
        <f>'Materials+LaborUnits'!$D$41</f>
        <v>702</v>
      </c>
      <c r="M57" s="6">
        <f>'Materials+LaborUnits'!$D$41</f>
        <v>702</v>
      </c>
      <c r="N57" s="6"/>
      <c r="O57" s="6"/>
      <c r="P57" s="6"/>
      <c r="Q57" s="6"/>
      <c r="R57" s="16"/>
      <c r="S57" s="16"/>
    </row>
    <row r="58" spans="1:20" x14ac:dyDescent="0.25">
      <c r="A58" s="141">
        <f t="shared" si="0"/>
        <v>55</v>
      </c>
      <c r="B58" t="s">
        <v>75</v>
      </c>
      <c r="C58" s="6">
        <f>('Materials+LaborUnits'!$D$42+'Materials+LaborUnits'!$D$43)/2</f>
        <v>132.345</v>
      </c>
      <c r="D58" s="6">
        <f>('Materials+LaborUnits'!$D$42+'Materials+LaborUnits'!$D$43)/2</f>
        <v>132.345</v>
      </c>
      <c r="E58" s="6">
        <f>('Materials+LaborUnits'!$D$42+'Materials+LaborUnits'!$D$43)/2</f>
        <v>132.345</v>
      </c>
      <c r="F58" s="6">
        <f>('Materials+LaborUnits'!$D$42+'Materials+LaborUnits'!$D$43)/2</f>
        <v>132.345</v>
      </c>
      <c r="G58" s="13">
        <f>'Materials+LaborUnits'!$D$42</f>
        <v>106.94</v>
      </c>
      <c r="H58" s="13">
        <f>'Materials+LaborUnits'!$D$42</f>
        <v>106.94</v>
      </c>
      <c r="I58" s="13">
        <f>'Materials+LaborUnits'!$D$42</f>
        <v>106.94</v>
      </c>
      <c r="J58" s="13">
        <f>'Materials+LaborUnits'!$D$42</f>
        <v>106.94</v>
      </c>
      <c r="K58" s="13">
        <f>'Materials+LaborUnits'!$D$42</f>
        <v>106.94</v>
      </c>
      <c r="L58" s="13">
        <f>'Materials+LaborUnits'!$D$42</f>
        <v>106.94</v>
      </c>
      <c r="M58" s="13">
        <f>'Materials+LaborUnits'!$D$42</f>
        <v>106.94</v>
      </c>
      <c r="N58" s="13"/>
      <c r="O58" s="13"/>
      <c r="P58" s="13"/>
      <c r="Q58" s="13"/>
      <c r="R58" s="14"/>
      <c r="S58" s="14"/>
    </row>
    <row r="59" spans="1:20" x14ac:dyDescent="0.25">
      <c r="A59" s="141">
        <f t="shared" si="0"/>
        <v>56</v>
      </c>
      <c r="B59" t="s">
        <v>76</v>
      </c>
      <c r="C59" s="13">
        <f>'Materials+LaborUnits'!$D$44/2</f>
        <v>277.33999999999997</v>
      </c>
      <c r="D59" s="13">
        <f>'Materials+LaborUnits'!$D$44/2</f>
        <v>277.33999999999997</v>
      </c>
      <c r="E59" s="13">
        <f>'Materials+LaborUnits'!$D$44/2</f>
        <v>277.33999999999997</v>
      </c>
      <c r="F59" s="13">
        <f>'Materials+LaborUnits'!$D$44/2</f>
        <v>277.33999999999997</v>
      </c>
      <c r="G59" s="5" t="s">
        <v>37</v>
      </c>
      <c r="H59" s="5" t="s">
        <v>37</v>
      </c>
      <c r="I59" s="5" t="s">
        <v>37</v>
      </c>
      <c r="J59" s="5" t="s">
        <v>37</v>
      </c>
      <c r="K59" s="5" t="s">
        <v>37</v>
      </c>
      <c r="L59" s="5" t="s">
        <v>37</v>
      </c>
      <c r="M59" s="5" t="s">
        <v>37</v>
      </c>
      <c r="N59" s="5"/>
      <c r="O59" s="5"/>
      <c r="P59" s="5"/>
      <c r="Q59" s="5"/>
      <c r="R59" s="14"/>
      <c r="S59" s="14"/>
    </row>
    <row r="60" spans="1:20" x14ac:dyDescent="0.25">
      <c r="A60" s="141">
        <f t="shared" si="0"/>
        <v>57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14"/>
      <c r="S60" s="14"/>
    </row>
    <row r="61" spans="1:20" x14ac:dyDescent="0.25">
      <c r="A61" s="141">
        <f t="shared" si="0"/>
        <v>58</v>
      </c>
      <c r="B61" t="s">
        <v>52</v>
      </c>
      <c r="C61" s="13">
        <f>SUM(C51:C59)</f>
        <v>1716.31</v>
      </c>
      <c r="D61" s="13">
        <f t="shared" ref="D61:M61" si="4">SUM(D51:D59)</f>
        <v>1716.31</v>
      </c>
      <c r="E61" s="13">
        <f t="shared" si="4"/>
        <v>1716.31</v>
      </c>
      <c r="F61" s="13">
        <f t="shared" si="4"/>
        <v>1716.31</v>
      </c>
      <c r="G61" s="13">
        <f t="shared" si="4"/>
        <v>1135.5900000000001</v>
      </c>
      <c r="H61" s="13">
        <f t="shared" si="4"/>
        <v>1135.5900000000001</v>
      </c>
      <c r="I61" s="13">
        <f t="shared" si="4"/>
        <v>1206.76</v>
      </c>
      <c r="J61" s="13">
        <f t="shared" si="4"/>
        <v>1206.76</v>
      </c>
      <c r="K61" s="13">
        <f t="shared" si="4"/>
        <v>1206.76</v>
      </c>
      <c r="L61" s="13">
        <f t="shared" si="4"/>
        <v>1135.5900000000001</v>
      </c>
      <c r="M61" s="13">
        <f t="shared" si="4"/>
        <v>1135.5900000000001</v>
      </c>
      <c r="N61" s="13"/>
      <c r="O61" s="13"/>
      <c r="P61" s="13"/>
      <c r="Q61" s="13"/>
      <c r="R61" s="16"/>
      <c r="S61" s="16"/>
    </row>
    <row r="62" spans="1:20" x14ac:dyDescent="0.25">
      <c r="A62" s="141">
        <f t="shared" si="0"/>
        <v>59</v>
      </c>
      <c r="B62" t="s">
        <v>53</v>
      </c>
      <c r="C62" s="12">
        <f>1+'Materials+LaborUnits'!$D$31</f>
        <v>1.09395</v>
      </c>
      <c r="D62" s="12">
        <f>1+'Materials+LaborUnits'!$D$31</f>
        <v>1.09395</v>
      </c>
      <c r="E62" s="12">
        <f>1+'Materials+LaborUnits'!$D$31</f>
        <v>1.09395</v>
      </c>
      <c r="F62" s="12">
        <f>1+'Materials+LaborUnits'!$D$31</f>
        <v>1.09395</v>
      </c>
      <c r="G62" s="12">
        <f>1+'Materials+LaborUnits'!$D$31</f>
        <v>1.09395</v>
      </c>
      <c r="H62" s="12">
        <f>1+'Materials+LaborUnits'!$D$31</f>
        <v>1.09395</v>
      </c>
      <c r="I62" s="12">
        <f>1+'Materials+LaborUnits'!$D$31</f>
        <v>1.09395</v>
      </c>
      <c r="J62" s="12">
        <f>1+'Materials+LaborUnits'!$D$31</f>
        <v>1.09395</v>
      </c>
      <c r="K62" s="12">
        <f>1+'Materials+LaborUnits'!$D$31</f>
        <v>1.09395</v>
      </c>
      <c r="L62" s="12">
        <f>1+'Materials+LaborUnits'!$D$31</f>
        <v>1.09395</v>
      </c>
      <c r="M62" s="12">
        <f>1+'Materials+LaborUnits'!$D$31</f>
        <v>1.09395</v>
      </c>
      <c r="N62" s="12">
        <f>1+'Materials+LaborUnits'!$D$31</f>
        <v>1.09395</v>
      </c>
      <c r="O62" s="12">
        <f>1+'Materials+LaborUnits'!$D$31</f>
        <v>1.09395</v>
      </c>
      <c r="P62" s="12">
        <f>1+'Materials+LaborUnits'!$D$31</f>
        <v>1.09395</v>
      </c>
      <c r="Q62" s="12">
        <f>1+'Materials+LaborUnits'!$D$31</f>
        <v>1.09395</v>
      </c>
      <c r="R62" s="18"/>
      <c r="S62" s="18"/>
      <c r="T62" s="10"/>
    </row>
    <row r="63" spans="1:20" x14ac:dyDescent="0.25">
      <c r="A63" s="141">
        <f t="shared" si="0"/>
        <v>60</v>
      </c>
      <c r="B63" s="1" t="s">
        <v>54</v>
      </c>
      <c r="C63" s="13">
        <f t="shared" ref="C63:M63" si="5">C61*C62</f>
        <v>1877.5573244999998</v>
      </c>
      <c r="D63" s="13">
        <f t="shared" si="5"/>
        <v>1877.5573244999998</v>
      </c>
      <c r="E63" s="13">
        <f t="shared" si="5"/>
        <v>1877.5573244999998</v>
      </c>
      <c r="F63" s="13">
        <f t="shared" si="5"/>
        <v>1877.5573244999998</v>
      </c>
      <c r="G63" s="13">
        <f t="shared" si="5"/>
        <v>1242.2786805000001</v>
      </c>
      <c r="H63" s="13">
        <f t="shared" si="5"/>
        <v>1242.2786805000001</v>
      </c>
      <c r="I63" s="13">
        <f t="shared" si="5"/>
        <v>1320.135102</v>
      </c>
      <c r="J63" s="13">
        <f t="shared" si="5"/>
        <v>1320.135102</v>
      </c>
      <c r="K63" s="13">
        <f t="shared" si="5"/>
        <v>1320.135102</v>
      </c>
      <c r="L63" s="13">
        <f t="shared" si="5"/>
        <v>1242.2786805000001</v>
      </c>
      <c r="M63" s="13">
        <f t="shared" si="5"/>
        <v>1242.2786805000001</v>
      </c>
      <c r="N63" s="13"/>
      <c r="O63" s="13"/>
      <c r="P63" s="13"/>
      <c r="Q63" s="13"/>
      <c r="R63" s="16"/>
      <c r="S63" s="16"/>
    </row>
    <row r="64" spans="1:20" x14ac:dyDescent="0.25">
      <c r="A64" s="141">
        <f t="shared" si="0"/>
        <v>61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14"/>
      <c r="S64" s="14"/>
    </row>
    <row r="65" spans="1:19" x14ac:dyDescent="0.25">
      <c r="A65" s="141">
        <f t="shared" si="0"/>
        <v>62</v>
      </c>
      <c r="B65" s="7" t="s">
        <v>55</v>
      </c>
      <c r="C65" s="13">
        <f t="shared" ref="C65:M65" si="6">C63+C48</f>
        <v>3848.8843923749992</v>
      </c>
      <c r="D65" s="13">
        <f t="shared" si="6"/>
        <v>3855.3961173749994</v>
      </c>
      <c r="E65" s="13">
        <f t="shared" si="6"/>
        <v>3920.5133673749997</v>
      </c>
      <c r="F65" s="13">
        <f t="shared" si="6"/>
        <v>4037.7244173749996</v>
      </c>
      <c r="G65" s="13">
        <f t="shared" si="6"/>
        <v>2122.1192835000002</v>
      </c>
      <c r="H65" s="13">
        <f t="shared" si="6"/>
        <v>2154.6779085000003</v>
      </c>
      <c r="I65" s="13">
        <f t="shared" si="6"/>
        <v>3009.7501469999997</v>
      </c>
      <c r="J65" s="13">
        <f t="shared" si="6"/>
        <v>3206.4042419999996</v>
      </c>
      <c r="K65" s="13">
        <f t="shared" si="6"/>
        <v>3466.8732419999997</v>
      </c>
      <c r="L65" s="13">
        <f t="shared" si="6"/>
        <v>2162.0657565000001</v>
      </c>
      <c r="M65" s="13">
        <f t="shared" si="6"/>
        <v>2129.5071315</v>
      </c>
      <c r="N65" s="13"/>
      <c r="O65" s="13"/>
      <c r="P65" s="13"/>
      <c r="Q65" s="13"/>
      <c r="R65" s="16"/>
      <c r="S65" s="16"/>
    </row>
    <row r="66" spans="1:19" x14ac:dyDescent="0.25">
      <c r="A66" s="141">
        <f t="shared" si="0"/>
        <v>63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11"/>
      <c r="S66" s="11"/>
    </row>
    <row r="67" spans="1:19" x14ac:dyDescent="0.25">
      <c r="A67" s="141">
        <f t="shared" si="0"/>
        <v>64</v>
      </c>
      <c r="B67" t="s">
        <v>203</v>
      </c>
      <c r="C67" s="8">
        <f>SUM(C17:C19)</f>
        <v>143</v>
      </c>
      <c r="D67" s="8">
        <f t="shared" ref="D67:M67" si="7">SUM(D17:D19)</f>
        <v>148.5</v>
      </c>
      <c r="E67" s="8">
        <f t="shared" si="7"/>
        <v>203.50000000000003</v>
      </c>
      <c r="F67" s="8">
        <f t="shared" si="7"/>
        <v>302.5</v>
      </c>
      <c r="G67" s="8">
        <f t="shared" si="7"/>
        <v>275</v>
      </c>
      <c r="H67" s="8">
        <f t="shared" si="7"/>
        <v>302.5</v>
      </c>
      <c r="I67" s="8">
        <f t="shared" si="7"/>
        <v>328.90000000000003</v>
      </c>
      <c r="J67" s="8">
        <f t="shared" si="7"/>
        <v>495.00000000000006</v>
      </c>
      <c r="K67" s="8">
        <f t="shared" si="7"/>
        <v>715.00000000000011</v>
      </c>
      <c r="L67" s="8">
        <f t="shared" si="7"/>
        <v>330</v>
      </c>
      <c r="M67" s="8">
        <f t="shared" si="7"/>
        <v>302.5</v>
      </c>
      <c r="N67" s="8">
        <f>SUM(N17:N23)</f>
        <v>392.59000000000009</v>
      </c>
      <c r="O67" s="8">
        <f t="shared" ref="O67:Q67" si="8">SUM(O17:O23)</f>
        <v>409.09000000000009</v>
      </c>
      <c r="P67" s="8">
        <f t="shared" si="8"/>
        <v>442.09000000000009</v>
      </c>
      <c r="Q67" s="8">
        <f t="shared" si="8"/>
        <v>689.59</v>
      </c>
      <c r="R67" s="19"/>
      <c r="S67" s="19"/>
    </row>
    <row r="68" spans="1:19" x14ac:dyDescent="0.25">
      <c r="A68" s="141">
        <f t="shared" si="0"/>
        <v>65</v>
      </c>
      <c r="B68" t="s">
        <v>200</v>
      </c>
      <c r="C68" s="8">
        <f>C67*C47</f>
        <v>169.30485000000002</v>
      </c>
      <c r="D68" s="8">
        <f t="shared" ref="D68:Q68" si="9">D67*D47</f>
        <v>175.816575</v>
      </c>
      <c r="E68" s="8">
        <f t="shared" si="9"/>
        <v>240.93382500000004</v>
      </c>
      <c r="F68" s="8">
        <f t="shared" si="9"/>
        <v>358.14487500000001</v>
      </c>
      <c r="G68" s="8">
        <f t="shared" si="9"/>
        <v>325.58625000000001</v>
      </c>
      <c r="H68" s="8">
        <f t="shared" si="9"/>
        <v>358.14487500000001</v>
      </c>
      <c r="I68" s="8">
        <f t="shared" si="9"/>
        <v>389.40115500000007</v>
      </c>
      <c r="J68" s="8">
        <f t="shared" si="9"/>
        <v>586.05525000000011</v>
      </c>
      <c r="K68" s="8">
        <f t="shared" si="9"/>
        <v>846.52425000000017</v>
      </c>
      <c r="L68" s="8">
        <f t="shared" si="9"/>
        <v>390.70350000000002</v>
      </c>
      <c r="M68" s="8">
        <f t="shared" si="9"/>
        <v>358.14487500000001</v>
      </c>
      <c r="N68" s="8">
        <f t="shared" si="9"/>
        <v>464.80693050000013</v>
      </c>
      <c r="O68" s="8">
        <f t="shared" si="9"/>
        <v>484.34210550000012</v>
      </c>
      <c r="P68" s="8">
        <f t="shared" si="9"/>
        <v>523.41245550000008</v>
      </c>
      <c r="Q68" s="8">
        <f t="shared" si="9"/>
        <v>816.44008050000002</v>
      </c>
      <c r="R68" s="19"/>
      <c r="S68" s="19"/>
    </row>
    <row r="69" spans="1:19" x14ac:dyDescent="0.25">
      <c r="A69" s="141">
        <f t="shared" si="0"/>
        <v>66</v>
      </c>
      <c r="B69" t="s">
        <v>205</v>
      </c>
      <c r="C69" s="8">
        <f>C51*C62</f>
        <v>101.387286</v>
      </c>
      <c r="D69" s="8">
        <f t="shared" ref="D69:Q69" si="10">D51*D62</f>
        <v>101.387286</v>
      </c>
      <c r="E69" s="8">
        <f t="shared" si="10"/>
        <v>101.387286</v>
      </c>
      <c r="F69" s="8">
        <f t="shared" si="10"/>
        <v>101.387286</v>
      </c>
      <c r="G69" s="8">
        <f t="shared" si="10"/>
        <v>101.387286</v>
      </c>
      <c r="H69" s="8">
        <f t="shared" si="10"/>
        <v>101.387286</v>
      </c>
      <c r="I69" s="8">
        <f t="shared" si="10"/>
        <v>101.387286</v>
      </c>
      <c r="J69" s="8">
        <f t="shared" si="10"/>
        <v>101.387286</v>
      </c>
      <c r="K69" s="8">
        <f t="shared" si="10"/>
        <v>101.387286</v>
      </c>
      <c r="L69" s="8">
        <f t="shared" si="10"/>
        <v>101.387286</v>
      </c>
      <c r="M69" s="8">
        <f t="shared" si="10"/>
        <v>101.387286</v>
      </c>
      <c r="N69" s="8">
        <f t="shared" si="10"/>
        <v>101.387286</v>
      </c>
      <c r="O69" s="8">
        <f t="shared" si="10"/>
        <v>101.387286</v>
      </c>
      <c r="P69" s="8">
        <f t="shared" si="10"/>
        <v>101.387286</v>
      </c>
      <c r="Q69" s="8">
        <f t="shared" si="10"/>
        <v>101.387286</v>
      </c>
      <c r="R69" s="19"/>
      <c r="S69" s="19"/>
    </row>
    <row r="70" spans="1:19" x14ac:dyDescent="0.25">
      <c r="A70" s="141">
        <f t="shared" si="0"/>
        <v>67</v>
      </c>
      <c r="B70" s="1" t="s">
        <v>207</v>
      </c>
      <c r="C70" s="8">
        <f>SUM(C68:C69)</f>
        <v>270.692136</v>
      </c>
      <c r="D70" s="8">
        <f t="shared" ref="D70:Q70" si="11">SUM(D68:D69)</f>
        <v>277.20386100000002</v>
      </c>
      <c r="E70" s="8">
        <f t="shared" si="11"/>
        <v>342.32111100000003</v>
      </c>
      <c r="F70" s="8">
        <f t="shared" si="11"/>
        <v>459.53216100000003</v>
      </c>
      <c r="G70" s="8">
        <f t="shared" si="11"/>
        <v>426.97353600000002</v>
      </c>
      <c r="H70" s="8">
        <f t="shared" si="11"/>
        <v>459.53216100000003</v>
      </c>
      <c r="I70" s="8">
        <f t="shared" si="11"/>
        <v>490.78844100000009</v>
      </c>
      <c r="J70" s="8">
        <f t="shared" si="11"/>
        <v>687.44253600000013</v>
      </c>
      <c r="K70" s="8">
        <f t="shared" si="11"/>
        <v>947.91153600000018</v>
      </c>
      <c r="L70" s="8">
        <f t="shared" si="11"/>
        <v>492.09078600000004</v>
      </c>
      <c r="M70" s="8">
        <f t="shared" si="11"/>
        <v>459.53216100000003</v>
      </c>
      <c r="N70" s="8">
        <f t="shared" si="11"/>
        <v>566.19421650000015</v>
      </c>
      <c r="O70" s="8">
        <f t="shared" si="11"/>
        <v>585.72939150000013</v>
      </c>
      <c r="P70" s="8">
        <f t="shared" si="11"/>
        <v>624.7997415000001</v>
      </c>
      <c r="Q70" s="8">
        <f t="shared" si="11"/>
        <v>917.82736650000004</v>
      </c>
      <c r="R70" s="19"/>
      <c r="S70" s="19"/>
    </row>
    <row r="71" spans="1:19" x14ac:dyDescent="0.25">
      <c r="A71" s="141">
        <f t="shared" ref="A71:A84" si="12">A70+1</f>
        <v>68</v>
      </c>
      <c r="R71" s="11"/>
      <c r="S71" s="11"/>
    </row>
    <row r="72" spans="1:19" x14ac:dyDescent="0.25">
      <c r="A72" s="141">
        <f t="shared" si="12"/>
        <v>69</v>
      </c>
      <c r="B72" t="s">
        <v>201</v>
      </c>
      <c r="C72" s="8">
        <f>SUM(C26:C35,C38,C41:C44,C22:C23)</f>
        <v>1522.0425</v>
      </c>
      <c r="D72" s="8">
        <f t="shared" ref="D72:M72" si="13">SUM(D26:D35,D38,D41:D44,D22:D23)</f>
        <v>1522.0425</v>
      </c>
      <c r="E72" s="8">
        <f t="shared" si="13"/>
        <v>1522.0425</v>
      </c>
      <c r="F72" s="8">
        <f t="shared" si="13"/>
        <v>1522.0425</v>
      </c>
      <c r="G72" s="8">
        <f t="shared" si="13"/>
        <v>468.14000000000004</v>
      </c>
      <c r="H72" s="8">
        <f t="shared" si="13"/>
        <v>468.14000000000004</v>
      </c>
      <c r="I72" s="8">
        <f t="shared" si="13"/>
        <v>1098.1999999999998</v>
      </c>
      <c r="J72" s="8">
        <f t="shared" si="13"/>
        <v>1098.1999999999998</v>
      </c>
      <c r="K72" s="8">
        <f t="shared" si="13"/>
        <v>1098.1999999999998</v>
      </c>
      <c r="L72" s="8">
        <f t="shared" si="13"/>
        <v>446.88000000000005</v>
      </c>
      <c r="M72" s="8">
        <f t="shared" si="13"/>
        <v>446.88000000000005</v>
      </c>
      <c r="N72" s="8"/>
      <c r="O72" s="8"/>
      <c r="P72" s="8"/>
      <c r="Q72" s="8"/>
      <c r="R72" s="19"/>
      <c r="S72" s="19"/>
    </row>
    <row r="73" spans="1:19" x14ac:dyDescent="0.25">
      <c r="A73" s="141">
        <f t="shared" si="12"/>
        <v>70</v>
      </c>
      <c r="B73" t="s">
        <v>202</v>
      </c>
      <c r="C73" s="8">
        <f>C72*C47</f>
        <v>1802.022217875</v>
      </c>
      <c r="D73" s="8">
        <f t="shared" ref="D73:M73" si="14">D72*D47</f>
        <v>1802.022217875</v>
      </c>
      <c r="E73" s="8">
        <f t="shared" si="14"/>
        <v>1802.022217875</v>
      </c>
      <c r="F73" s="8">
        <f t="shared" si="14"/>
        <v>1802.022217875</v>
      </c>
      <c r="G73" s="8">
        <f t="shared" si="14"/>
        <v>554.25435300000004</v>
      </c>
      <c r="H73" s="8">
        <f t="shared" si="14"/>
        <v>554.25435300000004</v>
      </c>
      <c r="I73" s="8">
        <f t="shared" si="14"/>
        <v>1300.2138899999998</v>
      </c>
      <c r="J73" s="8">
        <f t="shared" si="14"/>
        <v>1300.2138899999998</v>
      </c>
      <c r="K73" s="8">
        <f t="shared" si="14"/>
        <v>1300.2138899999998</v>
      </c>
      <c r="L73" s="8">
        <f t="shared" si="14"/>
        <v>529.08357600000011</v>
      </c>
      <c r="M73" s="8">
        <f t="shared" si="14"/>
        <v>529.08357600000011</v>
      </c>
      <c r="N73" s="8"/>
      <c r="O73" s="8"/>
      <c r="P73" s="8"/>
      <c r="Q73" s="8"/>
      <c r="R73" s="19"/>
      <c r="S73" s="19"/>
    </row>
    <row r="74" spans="1:19" x14ac:dyDescent="0.25">
      <c r="A74" s="141">
        <f t="shared" si="12"/>
        <v>71</v>
      </c>
      <c r="B74" t="s">
        <v>204</v>
      </c>
      <c r="C74" s="8">
        <f>SUM(C52:C59)*C62</f>
        <v>1776.1700384999999</v>
      </c>
      <c r="D74" s="8">
        <f t="shared" ref="D74:M74" si="15">SUM(D52:D59)*D62</f>
        <v>1776.1700384999999</v>
      </c>
      <c r="E74" s="8">
        <f t="shared" si="15"/>
        <v>1776.1700384999999</v>
      </c>
      <c r="F74" s="8">
        <f t="shared" si="15"/>
        <v>1776.1700384999999</v>
      </c>
      <c r="G74" s="8">
        <f t="shared" si="15"/>
        <v>1140.8913945000002</v>
      </c>
      <c r="H74" s="8">
        <f t="shared" si="15"/>
        <v>1140.8913945000002</v>
      </c>
      <c r="I74" s="8">
        <f t="shared" si="15"/>
        <v>1218.7478159999998</v>
      </c>
      <c r="J74" s="8">
        <f t="shared" si="15"/>
        <v>1218.7478159999998</v>
      </c>
      <c r="K74" s="8">
        <f t="shared" si="15"/>
        <v>1218.7478159999998</v>
      </c>
      <c r="L74" s="8">
        <f t="shared" si="15"/>
        <v>1140.8913945000002</v>
      </c>
      <c r="M74" s="8">
        <f t="shared" si="15"/>
        <v>1140.8913945000002</v>
      </c>
      <c r="N74" s="8"/>
      <c r="O74" s="8"/>
      <c r="P74" s="8"/>
      <c r="Q74" s="8"/>
      <c r="R74" s="19"/>
      <c r="S74" s="19"/>
    </row>
    <row r="75" spans="1:19" x14ac:dyDescent="0.25">
      <c r="A75" s="141">
        <f t="shared" si="12"/>
        <v>72</v>
      </c>
      <c r="B75" s="1" t="s">
        <v>206</v>
      </c>
      <c r="C75" s="8">
        <f>C74+C73</f>
        <v>3578.1922563749999</v>
      </c>
      <c r="D75" s="8">
        <f t="shared" ref="D75:M75" si="16">D74+D73</f>
        <v>3578.1922563749999</v>
      </c>
      <c r="E75" s="8">
        <f t="shared" si="16"/>
        <v>3578.1922563749999</v>
      </c>
      <c r="F75" s="8">
        <f t="shared" si="16"/>
        <v>3578.1922563749999</v>
      </c>
      <c r="G75" s="8">
        <f t="shared" si="16"/>
        <v>1695.1457475000002</v>
      </c>
      <c r="H75" s="8">
        <f t="shared" si="16"/>
        <v>1695.1457475000002</v>
      </c>
      <c r="I75" s="8">
        <f t="shared" si="16"/>
        <v>2518.9617059999996</v>
      </c>
      <c r="J75" s="8">
        <f t="shared" si="16"/>
        <v>2518.9617059999996</v>
      </c>
      <c r="K75" s="8">
        <f t="shared" si="16"/>
        <v>2518.9617059999996</v>
      </c>
      <c r="L75" s="8">
        <f t="shared" si="16"/>
        <v>1669.9749705000004</v>
      </c>
      <c r="M75" s="8">
        <f t="shared" si="16"/>
        <v>1669.9749705000004</v>
      </c>
      <c r="N75" s="8"/>
      <c r="O75" s="8"/>
      <c r="P75" s="8"/>
      <c r="Q75" s="8"/>
      <c r="R75" s="19"/>
      <c r="S75" s="19"/>
    </row>
    <row r="76" spans="1:19" x14ac:dyDescent="0.25">
      <c r="A76" s="141">
        <f t="shared" si="12"/>
        <v>73</v>
      </c>
    </row>
    <row r="77" spans="1:19" x14ac:dyDescent="0.25">
      <c r="A77" s="141">
        <f t="shared" si="12"/>
        <v>74</v>
      </c>
    </row>
    <row r="78" spans="1:19" x14ac:dyDescent="0.25">
      <c r="A78" s="141">
        <f t="shared" si="12"/>
        <v>75</v>
      </c>
    </row>
    <row r="79" spans="1:19" x14ac:dyDescent="0.25">
      <c r="A79" s="141">
        <f t="shared" si="12"/>
        <v>76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9" x14ac:dyDescent="0.25">
      <c r="A80" s="141">
        <f t="shared" si="12"/>
        <v>77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x14ac:dyDescent="0.25">
      <c r="A81" s="141">
        <f t="shared" si="12"/>
        <v>78</v>
      </c>
      <c r="B81" s="1" t="s">
        <v>236</v>
      </c>
    </row>
    <row r="82" spans="1:17" x14ac:dyDescent="0.25">
      <c r="A82" s="141">
        <f t="shared" si="12"/>
        <v>79</v>
      </c>
      <c r="B82" s="2" t="s">
        <v>494</v>
      </c>
      <c r="C82" s="8">
        <f>'Maintenance &amp; NBV'!$I$7</f>
        <v>5.0519597889028978</v>
      </c>
      <c r="D82" s="8">
        <f>'Maintenance &amp; NBV'!$I$7</f>
        <v>5.0519597889028978</v>
      </c>
      <c r="E82" s="8">
        <f>'Maintenance &amp; NBV'!$I$7</f>
        <v>5.0519597889028978</v>
      </c>
      <c r="F82" s="8">
        <f>'Maintenance &amp; NBV'!$I$7</f>
        <v>5.0519597889028978</v>
      </c>
      <c r="G82" s="8">
        <f>'Maintenance &amp; NBV'!$I$7</f>
        <v>5.0519597889028978</v>
      </c>
      <c r="H82" s="8">
        <f>'Maintenance &amp; NBV'!$I$7</f>
        <v>5.0519597889028978</v>
      </c>
      <c r="I82" s="8">
        <f>'Maintenance &amp; NBV'!$I$7</f>
        <v>5.0519597889028978</v>
      </c>
      <c r="J82" s="8">
        <f>'Maintenance &amp; NBV'!$I$7</f>
        <v>5.0519597889028978</v>
      </c>
      <c r="K82" s="8">
        <f>'Maintenance &amp; NBV'!$I$7</f>
        <v>5.0519597889028978</v>
      </c>
      <c r="L82" s="8">
        <f>'Maintenance &amp; NBV'!$I$7</f>
        <v>5.0519597889028978</v>
      </c>
      <c r="M82" s="8">
        <f>'Maintenance &amp; NBV'!$I$7</f>
        <v>5.0519597889028978</v>
      </c>
      <c r="N82" s="8">
        <f>'Maintenance &amp; NBV'!$I$7</f>
        <v>5.0519597889028978</v>
      </c>
      <c r="O82" s="8">
        <f>'Maintenance &amp; NBV'!$I$7</f>
        <v>5.0519597889028978</v>
      </c>
      <c r="P82" s="8">
        <f>'Maintenance &amp; NBV'!$I$7</f>
        <v>5.0519597889028978</v>
      </c>
      <c r="Q82" s="8">
        <f>'Maintenance &amp; NBV'!$I$7</f>
        <v>5.0519597889028978</v>
      </c>
    </row>
    <row r="83" spans="1:17" x14ac:dyDescent="0.25">
      <c r="A83" s="141">
        <f t="shared" si="12"/>
        <v>80</v>
      </c>
    </row>
    <row r="84" spans="1:17" x14ac:dyDescent="0.25">
      <c r="A84" s="141">
        <f t="shared" si="12"/>
        <v>81</v>
      </c>
      <c r="B84" t="s">
        <v>559</v>
      </c>
      <c r="C84" s="8">
        <f>C82+C80</f>
        <v>5.0519597889028978</v>
      </c>
      <c r="D84" s="8">
        <f t="shared" ref="D84:Q84" si="17">D82+D80</f>
        <v>5.0519597889028978</v>
      </c>
      <c r="E84" s="8">
        <f t="shared" si="17"/>
        <v>5.0519597889028978</v>
      </c>
      <c r="F84" s="8">
        <f t="shared" si="17"/>
        <v>5.0519597889028978</v>
      </c>
      <c r="G84" s="8">
        <f t="shared" si="17"/>
        <v>5.0519597889028978</v>
      </c>
      <c r="H84" s="8">
        <f t="shared" si="17"/>
        <v>5.0519597889028978</v>
      </c>
      <c r="I84" s="8">
        <f t="shared" si="17"/>
        <v>5.0519597889028978</v>
      </c>
      <c r="J84" s="8">
        <f t="shared" si="17"/>
        <v>5.0519597889028978</v>
      </c>
      <c r="K84" s="8">
        <f t="shared" si="17"/>
        <v>5.0519597889028978</v>
      </c>
      <c r="L84" s="8">
        <f t="shared" si="17"/>
        <v>5.0519597889028978</v>
      </c>
      <c r="M84" s="8">
        <f t="shared" si="17"/>
        <v>5.0519597889028978</v>
      </c>
      <c r="N84" s="8">
        <f t="shared" si="17"/>
        <v>5.0519597889028978</v>
      </c>
      <c r="O84" s="8">
        <f t="shared" si="17"/>
        <v>5.0519597889028978</v>
      </c>
      <c r="P84" s="8">
        <f t="shared" si="17"/>
        <v>5.0519597889028978</v>
      </c>
      <c r="Q84" s="8">
        <f t="shared" si="17"/>
        <v>5.0519597889028978</v>
      </c>
    </row>
  </sheetData>
  <mergeCells count="1">
    <mergeCell ref="C3:M3"/>
  </mergeCells>
  <conditionalFormatting sqref="T41 C26:K26 C4:Q25 C27:Q65">
    <cfRule type="expression" dxfId="2" priority="147">
      <formula>MOD(COLUMN(),2)=0</formula>
    </cfRule>
  </conditionalFormatting>
  <conditionalFormatting sqref="L26">
    <cfRule type="expression" dxfId="1" priority="2">
      <formula>MOD(COLUMN(),2)=0</formula>
    </cfRule>
  </conditionalFormatting>
  <conditionalFormatting sqref="M26:Q26">
    <cfRule type="expression" dxfId="0" priority="1">
      <formula>MOD(COLUMN(),2)=0</formula>
    </cfRule>
  </conditionalFormatting>
  <pageMargins left="1" right="1" top="1" bottom="1.75" header="0.5" footer="0.5"/>
  <pageSetup scale="33" orientation="landscape" r:id="rId1"/>
  <headerFooter scaleWithDoc="0">
    <oddFooter xml:space="preserve">&amp;R&amp;"Times New Roman,Bold"&amp;12 Case No. 2018-00295
Attachment to Response to PSC-2 Question No. 29a-b
Page &amp;P of &amp;N
Seelye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="80" zoomScaleNormal="80" workbookViewId="0"/>
  </sheetViews>
  <sheetFormatPr defaultRowHeight="15" x14ac:dyDescent="0.25"/>
  <cols>
    <col min="2" max="2" width="9.5703125" bestFit="1" customWidth="1"/>
  </cols>
  <sheetData>
    <row r="1" spans="1:10" ht="21" x14ac:dyDescent="0.35">
      <c r="A1" s="56" t="s">
        <v>240</v>
      </c>
      <c r="B1" s="45"/>
      <c r="C1" s="45"/>
    </row>
    <row r="2" spans="1:10" ht="21" x14ac:dyDescent="0.35">
      <c r="A2" s="44"/>
      <c r="B2" s="45"/>
      <c r="C2" s="45"/>
    </row>
    <row r="3" spans="1:10" x14ac:dyDescent="0.25">
      <c r="A3" s="45"/>
      <c r="B3" s="46" t="s">
        <v>238</v>
      </c>
      <c r="C3" s="46" t="s">
        <v>239</v>
      </c>
    </row>
    <row r="4" spans="1:10" x14ac:dyDescent="0.25">
      <c r="A4" s="47">
        <v>43282</v>
      </c>
      <c r="B4" s="48">
        <v>-6.2E-4</v>
      </c>
      <c r="C4" s="49">
        <v>2.3999999999999998E-3</v>
      </c>
    </row>
    <row r="5" spans="1:10" x14ac:dyDescent="0.25">
      <c r="A5" s="50">
        <f>IF(MONTH(A4)=1,DATE(YEAR(A4)-1,12,1),DATE(YEAR(A4),MONTH(A4)-1,1))</f>
        <v>43252</v>
      </c>
      <c r="B5" s="48">
        <v>-5.8E-4</v>
      </c>
      <c r="C5" s="49">
        <v>2.06E-2</v>
      </c>
    </row>
    <row r="6" spans="1:10" x14ac:dyDescent="0.25">
      <c r="A6" s="50">
        <f t="shared" ref="A6:A15" si="0">IF(MONTH(A5)=1,DATE(YEAR(A5)-1,12,1),DATE(YEAR(A5),MONTH(A5)-1,1))</f>
        <v>43221</v>
      </c>
      <c r="B6" s="48">
        <v>-2.33E-3</v>
      </c>
      <c r="C6" s="49">
        <v>2.0799999999999999E-2</v>
      </c>
    </row>
    <row r="7" spans="1:10" x14ac:dyDescent="0.25">
      <c r="A7" s="50">
        <f t="shared" si="0"/>
        <v>43191</v>
      </c>
      <c r="B7" s="48">
        <v>1.31E-3</v>
      </c>
      <c r="C7" s="49">
        <v>1.78E-2</v>
      </c>
    </row>
    <row r="8" spans="1:10" x14ac:dyDescent="0.25">
      <c r="A8" s="50">
        <f t="shared" si="0"/>
        <v>43160</v>
      </c>
      <c r="B8" s="48">
        <v>-5.8699999999999994E-3</v>
      </c>
      <c r="C8" s="49">
        <v>3.1699999999999999E-2</v>
      </c>
    </row>
    <row r="9" spans="1:10" x14ac:dyDescent="0.25">
      <c r="A9" s="50">
        <f t="shared" si="0"/>
        <v>43132</v>
      </c>
      <c r="B9" s="48">
        <v>-7.6000000000000004E-4</v>
      </c>
      <c r="C9" s="49">
        <v>7.7399999999999997E-2</v>
      </c>
    </row>
    <row r="10" spans="1:10" x14ac:dyDescent="0.25">
      <c r="A10" s="50">
        <f t="shared" si="0"/>
        <v>43101</v>
      </c>
      <c r="B10" s="48">
        <v>1.9000000000000001E-4</v>
      </c>
      <c r="C10" s="49">
        <v>8.4400000000000003E-2</v>
      </c>
    </row>
    <row r="11" spans="1:10" x14ac:dyDescent="0.25">
      <c r="A11" s="50">
        <f t="shared" si="0"/>
        <v>43070</v>
      </c>
      <c r="B11" s="48">
        <v>-1.07E-3</v>
      </c>
      <c r="C11" s="49">
        <v>6.3500000000000001E-2</v>
      </c>
    </row>
    <row r="12" spans="1:10" x14ac:dyDescent="0.25">
      <c r="A12" s="50">
        <f t="shared" si="0"/>
        <v>43040</v>
      </c>
      <c r="B12" s="48">
        <v>-6.8999999999999997E-4</v>
      </c>
      <c r="C12" s="49">
        <v>6.2199999999999998E-2</v>
      </c>
    </row>
    <row r="13" spans="1:10" x14ac:dyDescent="0.25">
      <c r="A13" s="50">
        <f t="shared" si="0"/>
        <v>43009</v>
      </c>
      <c r="B13" s="48">
        <v>-3.5699999999999998E-3</v>
      </c>
      <c r="C13" s="49">
        <v>5.1299999999999998E-2</v>
      </c>
      <c r="J13" s="341"/>
    </row>
    <row r="14" spans="1:10" x14ac:dyDescent="0.25">
      <c r="A14" s="50">
        <f>IF(MONTH(A13)=1,DATE(YEAR(A13)-1,12,1),DATE(YEAR(A13),MONTH(A13)-1,1))</f>
        <v>42979</v>
      </c>
      <c r="B14" s="48">
        <v>-3.0100000000000001E-3</v>
      </c>
      <c r="C14" s="49">
        <v>3.95E-2</v>
      </c>
    </row>
    <row r="15" spans="1:10" x14ac:dyDescent="0.25">
      <c r="A15" s="50">
        <f t="shared" si="0"/>
        <v>42948</v>
      </c>
      <c r="B15" s="51">
        <v>-2.4199999999999998E-3</v>
      </c>
      <c r="C15" s="52">
        <v>3.9699999999999999E-2</v>
      </c>
    </row>
    <row r="16" spans="1:10" x14ac:dyDescent="0.25">
      <c r="A16" s="53" t="s">
        <v>235</v>
      </c>
      <c r="B16" s="54">
        <f>AVERAGE(B4:B15)</f>
        <v>-1.6183333333333334E-3</v>
      </c>
      <c r="C16" s="55">
        <f>AVERAGE(C4:C15)</f>
        <v>4.2608333333333331E-2</v>
      </c>
    </row>
  </sheetData>
  <pageMargins left="1" right="1" top="1" bottom="1.75" header="0.5" footer="0.5"/>
  <pageSetup orientation="landscape" r:id="rId1"/>
  <headerFooter scaleWithDoc="0">
    <oddFooter xml:space="preserve">&amp;R&amp;"Times New Roman,Bold"&amp;12 Case No. 2018-00295
Attachment to Response to PSC-2 Question No. 29a-b
Page &amp;P of &amp;N
Seelye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zoomScale="70" zoomScaleNormal="70" workbookViewId="0"/>
  </sheetViews>
  <sheetFormatPr defaultColWidth="11.42578125" defaultRowHeight="15" x14ac:dyDescent="0.2"/>
  <cols>
    <col min="1" max="1" width="19.28515625" style="59" customWidth="1"/>
    <col min="2" max="2" width="27.5703125" style="59" customWidth="1"/>
    <col min="3" max="3" width="15.28515625" style="59" bestFit="1" customWidth="1"/>
    <col min="4" max="4" width="12.5703125" style="59" customWidth="1"/>
    <col min="5" max="5" width="11.5703125" style="59" bestFit="1" customWidth="1"/>
    <col min="6" max="6" width="14" style="59" customWidth="1"/>
    <col min="7" max="7" width="17.85546875" style="59" customWidth="1"/>
    <col min="8" max="8" width="14.42578125" style="59" customWidth="1"/>
    <col min="9" max="9" width="14.140625" style="59" bestFit="1" customWidth="1"/>
    <col min="10" max="10" width="11.42578125" style="59"/>
    <col min="11" max="11" width="11.5703125" style="59" bestFit="1" customWidth="1"/>
    <col min="12" max="13" width="11.42578125" style="59"/>
    <col min="14" max="14" width="11.85546875" style="59" bestFit="1" customWidth="1"/>
    <col min="15" max="15" width="11.42578125" style="59"/>
    <col min="16" max="16" width="11.85546875" style="59" bestFit="1" customWidth="1"/>
    <col min="17" max="256" width="11.42578125" style="59"/>
    <col min="257" max="257" width="13.140625" style="59" customWidth="1"/>
    <col min="258" max="258" width="27.5703125" style="59" customWidth="1"/>
    <col min="259" max="259" width="15.28515625" style="59" bestFit="1" customWidth="1"/>
    <col min="260" max="260" width="12.5703125" style="59" customWidth="1"/>
    <col min="261" max="261" width="11.5703125" style="59" bestFit="1" customWidth="1"/>
    <col min="262" max="262" width="14" style="59" customWidth="1"/>
    <col min="263" max="263" width="17.85546875" style="59" customWidth="1"/>
    <col min="264" max="264" width="14.42578125" style="59" customWidth="1"/>
    <col min="265" max="265" width="14.140625" style="59" bestFit="1" customWidth="1"/>
    <col min="266" max="266" width="11.42578125" style="59"/>
    <col min="267" max="267" width="11.5703125" style="59" bestFit="1" customWidth="1"/>
    <col min="268" max="269" width="11.42578125" style="59"/>
    <col min="270" max="270" width="11.85546875" style="59" bestFit="1" customWidth="1"/>
    <col min="271" max="271" width="11.42578125" style="59"/>
    <col min="272" max="272" width="11.85546875" style="59" bestFit="1" customWidth="1"/>
    <col min="273" max="512" width="11.42578125" style="59"/>
    <col min="513" max="513" width="13.140625" style="59" customWidth="1"/>
    <col min="514" max="514" width="27.5703125" style="59" customWidth="1"/>
    <col min="515" max="515" width="15.28515625" style="59" bestFit="1" customWidth="1"/>
    <col min="516" max="516" width="12.5703125" style="59" customWidth="1"/>
    <col min="517" max="517" width="11.5703125" style="59" bestFit="1" customWidth="1"/>
    <col min="518" max="518" width="14" style="59" customWidth="1"/>
    <col min="519" max="519" width="17.85546875" style="59" customWidth="1"/>
    <col min="520" max="520" width="14.42578125" style="59" customWidth="1"/>
    <col min="521" max="521" width="14.140625" style="59" bestFit="1" customWidth="1"/>
    <col min="522" max="522" width="11.42578125" style="59"/>
    <col min="523" max="523" width="11.5703125" style="59" bestFit="1" customWidth="1"/>
    <col min="524" max="525" width="11.42578125" style="59"/>
    <col min="526" max="526" width="11.85546875" style="59" bestFit="1" customWidth="1"/>
    <col min="527" max="527" width="11.42578125" style="59"/>
    <col min="528" max="528" width="11.85546875" style="59" bestFit="1" customWidth="1"/>
    <col min="529" max="768" width="11.42578125" style="59"/>
    <col min="769" max="769" width="13.140625" style="59" customWidth="1"/>
    <col min="770" max="770" width="27.5703125" style="59" customWidth="1"/>
    <col min="771" max="771" width="15.28515625" style="59" bestFit="1" customWidth="1"/>
    <col min="772" max="772" width="12.5703125" style="59" customWidth="1"/>
    <col min="773" max="773" width="11.5703125" style="59" bestFit="1" customWidth="1"/>
    <col min="774" max="774" width="14" style="59" customWidth="1"/>
    <col min="775" max="775" width="17.85546875" style="59" customWidth="1"/>
    <col min="776" max="776" width="14.42578125" style="59" customWidth="1"/>
    <col min="777" max="777" width="14.140625" style="59" bestFit="1" customWidth="1"/>
    <col min="778" max="778" width="11.42578125" style="59"/>
    <col min="779" max="779" width="11.5703125" style="59" bestFit="1" customWidth="1"/>
    <col min="780" max="781" width="11.42578125" style="59"/>
    <col min="782" max="782" width="11.85546875" style="59" bestFit="1" customWidth="1"/>
    <col min="783" max="783" width="11.42578125" style="59"/>
    <col min="784" max="784" width="11.85546875" style="59" bestFit="1" customWidth="1"/>
    <col min="785" max="1024" width="11.42578125" style="59"/>
    <col min="1025" max="1025" width="13.140625" style="59" customWidth="1"/>
    <col min="1026" max="1026" width="27.5703125" style="59" customWidth="1"/>
    <col min="1027" max="1027" width="15.28515625" style="59" bestFit="1" customWidth="1"/>
    <col min="1028" max="1028" width="12.5703125" style="59" customWidth="1"/>
    <col min="1029" max="1029" width="11.5703125" style="59" bestFit="1" customWidth="1"/>
    <col min="1030" max="1030" width="14" style="59" customWidth="1"/>
    <col min="1031" max="1031" width="17.85546875" style="59" customWidth="1"/>
    <col min="1032" max="1032" width="14.42578125" style="59" customWidth="1"/>
    <col min="1033" max="1033" width="14.140625" style="59" bestFit="1" customWidth="1"/>
    <col min="1034" max="1034" width="11.42578125" style="59"/>
    <col min="1035" max="1035" width="11.5703125" style="59" bestFit="1" customWidth="1"/>
    <col min="1036" max="1037" width="11.42578125" style="59"/>
    <col min="1038" max="1038" width="11.85546875" style="59" bestFit="1" customWidth="1"/>
    <col min="1039" max="1039" width="11.42578125" style="59"/>
    <col min="1040" max="1040" width="11.85546875" style="59" bestFit="1" customWidth="1"/>
    <col min="1041" max="1280" width="11.42578125" style="59"/>
    <col min="1281" max="1281" width="13.140625" style="59" customWidth="1"/>
    <col min="1282" max="1282" width="27.5703125" style="59" customWidth="1"/>
    <col min="1283" max="1283" width="15.28515625" style="59" bestFit="1" customWidth="1"/>
    <col min="1284" max="1284" width="12.5703125" style="59" customWidth="1"/>
    <col min="1285" max="1285" width="11.5703125" style="59" bestFit="1" customWidth="1"/>
    <col min="1286" max="1286" width="14" style="59" customWidth="1"/>
    <col min="1287" max="1287" width="17.85546875" style="59" customWidth="1"/>
    <col min="1288" max="1288" width="14.42578125" style="59" customWidth="1"/>
    <col min="1289" max="1289" width="14.140625" style="59" bestFit="1" customWidth="1"/>
    <col min="1290" max="1290" width="11.42578125" style="59"/>
    <col min="1291" max="1291" width="11.5703125" style="59" bestFit="1" customWidth="1"/>
    <col min="1292" max="1293" width="11.42578125" style="59"/>
    <col min="1294" max="1294" width="11.85546875" style="59" bestFit="1" customWidth="1"/>
    <col min="1295" max="1295" width="11.42578125" style="59"/>
    <col min="1296" max="1296" width="11.85546875" style="59" bestFit="1" customWidth="1"/>
    <col min="1297" max="1536" width="11.42578125" style="59"/>
    <col min="1537" max="1537" width="13.140625" style="59" customWidth="1"/>
    <col min="1538" max="1538" width="27.5703125" style="59" customWidth="1"/>
    <col min="1539" max="1539" width="15.28515625" style="59" bestFit="1" customWidth="1"/>
    <col min="1540" max="1540" width="12.5703125" style="59" customWidth="1"/>
    <col min="1541" max="1541" width="11.5703125" style="59" bestFit="1" customWidth="1"/>
    <col min="1542" max="1542" width="14" style="59" customWidth="1"/>
    <col min="1543" max="1543" width="17.85546875" style="59" customWidth="1"/>
    <col min="1544" max="1544" width="14.42578125" style="59" customWidth="1"/>
    <col min="1545" max="1545" width="14.140625" style="59" bestFit="1" customWidth="1"/>
    <col min="1546" max="1546" width="11.42578125" style="59"/>
    <col min="1547" max="1547" width="11.5703125" style="59" bestFit="1" customWidth="1"/>
    <col min="1548" max="1549" width="11.42578125" style="59"/>
    <col min="1550" max="1550" width="11.85546875" style="59" bestFit="1" customWidth="1"/>
    <col min="1551" max="1551" width="11.42578125" style="59"/>
    <col min="1552" max="1552" width="11.85546875" style="59" bestFit="1" customWidth="1"/>
    <col min="1553" max="1792" width="11.42578125" style="59"/>
    <col min="1793" max="1793" width="13.140625" style="59" customWidth="1"/>
    <col min="1794" max="1794" width="27.5703125" style="59" customWidth="1"/>
    <col min="1795" max="1795" width="15.28515625" style="59" bestFit="1" customWidth="1"/>
    <col min="1796" max="1796" width="12.5703125" style="59" customWidth="1"/>
    <col min="1797" max="1797" width="11.5703125" style="59" bestFit="1" customWidth="1"/>
    <col min="1798" max="1798" width="14" style="59" customWidth="1"/>
    <col min="1799" max="1799" width="17.85546875" style="59" customWidth="1"/>
    <col min="1800" max="1800" width="14.42578125" style="59" customWidth="1"/>
    <col min="1801" max="1801" width="14.140625" style="59" bestFit="1" customWidth="1"/>
    <col min="1802" max="1802" width="11.42578125" style="59"/>
    <col min="1803" max="1803" width="11.5703125" style="59" bestFit="1" customWidth="1"/>
    <col min="1804" max="1805" width="11.42578125" style="59"/>
    <col min="1806" max="1806" width="11.85546875" style="59" bestFit="1" customWidth="1"/>
    <col min="1807" max="1807" width="11.42578125" style="59"/>
    <col min="1808" max="1808" width="11.85546875" style="59" bestFit="1" customWidth="1"/>
    <col min="1809" max="2048" width="11.42578125" style="59"/>
    <col min="2049" max="2049" width="13.140625" style="59" customWidth="1"/>
    <col min="2050" max="2050" width="27.5703125" style="59" customWidth="1"/>
    <col min="2051" max="2051" width="15.28515625" style="59" bestFit="1" customWidth="1"/>
    <col min="2052" max="2052" width="12.5703125" style="59" customWidth="1"/>
    <col min="2053" max="2053" width="11.5703125" style="59" bestFit="1" customWidth="1"/>
    <col min="2054" max="2054" width="14" style="59" customWidth="1"/>
    <col min="2055" max="2055" width="17.85546875" style="59" customWidth="1"/>
    <col min="2056" max="2056" width="14.42578125" style="59" customWidth="1"/>
    <col min="2057" max="2057" width="14.140625" style="59" bestFit="1" customWidth="1"/>
    <col min="2058" max="2058" width="11.42578125" style="59"/>
    <col min="2059" max="2059" width="11.5703125" style="59" bestFit="1" customWidth="1"/>
    <col min="2060" max="2061" width="11.42578125" style="59"/>
    <col min="2062" max="2062" width="11.85546875" style="59" bestFit="1" customWidth="1"/>
    <col min="2063" max="2063" width="11.42578125" style="59"/>
    <col min="2064" max="2064" width="11.85546875" style="59" bestFit="1" customWidth="1"/>
    <col min="2065" max="2304" width="11.42578125" style="59"/>
    <col min="2305" max="2305" width="13.140625" style="59" customWidth="1"/>
    <col min="2306" max="2306" width="27.5703125" style="59" customWidth="1"/>
    <col min="2307" max="2307" width="15.28515625" style="59" bestFit="1" customWidth="1"/>
    <col min="2308" max="2308" width="12.5703125" style="59" customWidth="1"/>
    <col min="2309" max="2309" width="11.5703125" style="59" bestFit="1" customWidth="1"/>
    <col min="2310" max="2310" width="14" style="59" customWidth="1"/>
    <col min="2311" max="2311" width="17.85546875" style="59" customWidth="1"/>
    <col min="2312" max="2312" width="14.42578125" style="59" customWidth="1"/>
    <col min="2313" max="2313" width="14.140625" style="59" bestFit="1" customWidth="1"/>
    <col min="2314" max="2314" width="11.42578125" style="59"/>
    <col min="2315" max="2315" width="11.5703125" style="59" bestFit="1" customWidth="1"/>
    <col min="2316" max="2317" width="11.42578125" style="59"/>
    <col min="2318" max="2318" width="11.85546875" style="59" bestFit="1" customWidth="1"/>
    <col min="2319" max="2319" width="11.42578125" style="59"/>
    <col min="2320" max="2320" width="11.85546875" style="59" bestFit="1" customWidth="1"/>
    <col min="2321" max="2560" width="11.42578125" style="59"/>
    <col min="2561" max="2561" width="13.140625" style="59" customWidth="1"/>
    <col min="2562" max="2562" width="27.5703125" style="59" customWidth="1"/>
    <col min="2563" max="2563" width="15.28515625" style="59" bestFit="1" customWidth="1"/>
    <col min="2564" max="2564" width="12.5703125" style="59" customWidth="1"/>
    <col min="2565" max="2565" width="11.5703125" style="59" bestFit="1" customWidth="1"/>
    <col min="2566" max="2566" width="14" style="59" customWidth="1"/>
    <col min="2567" max="2567" width="17.85546875" style="59" customWidth="1"/>
    <col min="2568" max="2568" width="14.42578125" style="59" customWidth="1"/>
    <col min="2569" max="2569" width="14.140625" style="59" bestFit="1" customWidth="1"/>
    <col min="2570" max="2570" width="11.42578125" style="59"/>
    <col min="2571" max="2571" width="11.5703125" style="59" bestFit="1" customWidth="1"/>
    <col min="2572" max="2573" width="11.42578125" style="59"/>
    <col min="2574" max="2574" width="11.85546875" style="59" bestFit="1" customWidth="1"/>
    <col min="2575" max="2575" width="11.42578125" style="59"/>
    <col min="2576" max="2576" width="11.85546875" style="59" bestFit="1" customWidth="1"/>
    <col min="2577" max="2816" width="11.42578125" style="59"/>
    <col min="2817" max="2817" width="13.140625" style="59" customWidth="1"/>
    <col min="2818" max="2818" width="27.5703125" style="59" customWidth="1"/>
    <col min="2819" max="2819" width="15.28515625" style="59" bestFit="1" customWidth="1"/>
    <col min="2820" max="2820" width="12.5703125" style="59" customWidth="1"/>
    <col min="2821" max="2821" width="11.5703125" style="59" bestFit="1" customWidth="1"/>
    <col min="2822" max="2822" width="14" style="59" customWidth="1"/>
    <col min="2823" max="2823" width="17.85546875" style="59" customWidth="1"/>
    <col min="2824" max="2824" width="14.42578125" style="59" customWidth="1"/>
    <col min="2825" max="2825" width="14.140625" style="59" bestFit="1" customWidth="1"/>
    <col min="2826" max="2826" width="11.42578125" style="59"/>
    <col min="2827" max="2827" width="11.5703125" style="59" bestFit="1" customWidth="1"/>
    <col min="2828" max="2829" width="11.42578125" style="59"/>
    <col min="2830" max="2830" width="11.85546875" style="59" bestFit="1" customWidth="1"/>
    <col min="2831" max="2831" width="11.42578125" style="59"/>
    <col min="2832" max="2832" width="11.85546875" style="59" bestFit="1" customWidth="1"/>
    <col min="2833" max="3072" width="11.42578125" style="59"/>
    <col min="3073" max="3073" width="13.140625" style="59" customWidth="1"/>
    <col min="3074" max="3074" width="27.5703125" style="59" customWidth="1"/>
    <col min="3075" max="3075" width="15.28515625" style="59" bestFit="1" customWidth="1"/>
    <col min="3076" max="3076" width="12.5703125" style="59" customWidth="1"/>
    <col min="3077" max="3077" width="11.5703125" style="59" bestFit="1" customWidth="1"/>
    <col min="3078" max="3078" width="14" style="59" customWidth="1"/>
    <col min="3079" max="3079" width="17.85546875" style="59" customWidth="1"/>
    <col min="3080" max="3080" width="14.42578125" style="59" customWidth="1"/>
    <col min="3081" max="3081" width="14.140625" style="59" bestFit="1" customWidth="1"/>
    <col min="3082" max="3082" width="11.42578125" style="59"/>
    <col min="3083" max="3083" width="11.5703125" style="59" bestFit="1" customWidth="1"/>
    <col min="3084" max="3085" width="11.42578125" style="59"/>
    <col min="3086" max="3086" width="11.85546875" style="59" bestFit="1" customWidth="1"/>
    <col min="3087" max="3087" width="11.42578125" style="59"/>
    <col min="3088" max="3088" width="11.85546875" style="59" bestFit="1" customWidth="1"/>
    <col min="3089" max="3328" width="11.42578125" style="59"/>
    <col min="3329" max="3329" width="13.140625" style="59" customWidth="1"/>
    <col min="3330" max="3330" width="27.5703125" style="59" customWidth="1"/>
    <col min="3331" max="3331" width="15.28515625" style="59" bestFit="1" customWidth="1"/>
    <col min="3332" max="3332" width="12.5703125" style="59" customWidth="1"/>
    <col min="3333" max="3333" width="11.5703125" style="59" bestFit="1" customWidth="1"/>
    <col min="3334" max="3334" width="14" style="59" customWidth="1"/>
    <col min="3335" max="3335" width="17.85546875" style="59" customWidth="1"/>
    <col min="3336" max="3336" width="14.42578125" style="59" customWidth="1"/>
    <col min="3337" max="3337" width="14.140625" style="59" bestFit="1" customWidth="1"/>
    <col min="3338" max="3338" width="11.42578125" style="59"/>
    <col min="3339" max="3339" width="11.5703125" style="59" bestFit="1" customWidth="1"/>
    <col min="3340" max="3341" width="11.42578125" style="59"/>
    <col min="3342" max="3342" width="11.85546875" style="59" bestFit="1" customWidth="1"/>
    <col min="3343" max="3343" width="11.42578125" style="59"/>
    <col min="3344" max="3344" width="11.85546875" style="59" bestFit="1" customWidth="1"/>
    <col min="3345" max="3584" width="11.42578125" style="59"/>
    <col min="3585" max="3585" width="13.140625" style="59" customWidth="1"/>
    <col min="3586" max="3586" width="27.5703125" style="59" customWidth="1"/>
    <col min="3587" max="3587" width="15.28515625" style="59" bestFit="1" customWidth="1"/>
    <col min="3588" max="3588" width="12.5703125" style="59" customWidth="1"/>
    <col min="3589" max="3589" width="11.5703125" style="59" bestFit="1" customWidth="1"/>
    <col min="3590" max="3590" width="14" style="59" customWidth="1"/>
    <col min="3591" max="3591" width="17.85546875" style="59" customWidth="1"/>
    <col min="3592" max="3592" width="14.42578125" style="59" customWidth="1"/>
    <col min="3593" max="3593" width="14.140625" style="59" bestFit="1" customWidth="1"/>
    <col min="3594" max="3594" width="11.42578125" style="59"/>
    <col min="3595" max="3595" width="11.5703125" style="59" bestFit="1" customWidth="1"/>
    <col min="3596" max="3597" width="11.42578125" style="59"/>
    <col min="3598" max="3598" width="11.85546875" style="59" bestFit="1" customWidth="1"/>
    <col min="3599" max="3599" width="11.42578125" style="59"/>
    <col min="3600" max="3600" width="11.85546875" style="59" bestFit="1" customWidth="1"/>
    <col min="3601" max="3840" width="11.42578125" style="59"/>
    <col min="3841" max="3841" width="13.140625" style="59" customWidth="1"/>
    <col min="3842" max="3842" width="27.5703125" style="59" customWidth="1"/>
    <col min="3843" max="3843" width="15.28515625" style="59" bestFit="1" customWidth="1"/>
    <col min="3844" max="3844" width="12.5703125" style="59" customWidth="1"/>
    <col min="3845" max="3845" width="11.5703125" style="59" bestFit="1" customWidth="1"/>
    <col min="3846" max="3846" width="14" style="59" customWidth="1"/>
    <col min="3847" max="3847" width="17.85546875" style="59" customWidth="1"/>
    <col min="3848" max="3848" width="14.42578125" style="59" customWidth="1"/>
    <col min="3849" max="3849" width="14.140625" style="59" bestFit="1" customWidth="1"/>
    <col min="3850" max="3850" width="11.42578125" style="59"/>
    <col min="3851" max="3851" width="11.5703125" style="59" bestFit="1" customWidth="1"/>
    <col min="3852" max="3853" width="11.42578125" style="59"/>
    <col min="3854" max="3854" width="11.85546875" style="59" bestFit="1" customWidth="1"/>
    <col min="3855" max="3855" width="11.42578125" style="59"/>
    <col min="3856" max="3856" width="11.85546875" style="59" bestFit="1" customWidth="1"/>
    <col min="3857" max="4096" width="11.42578125" style="59"/>
    <col min="4097" max="4097" width="13.140625" style="59" customWidth="1"/>
    <col min="4098" max="4098" width="27.5703125" style="59" customWidth="1"/>
    <col min="4099" max="4099" width="15.28515625" style="59" bestFit="1" customWidth="1"/>
    <col min="4100" max="4100" width="12.5703125" style="59" customWidth="1"/>
    <col min="4101" max="4101" width="11.5703125" style="59" bestFit="1" customWidth="1"/>
    <col min="4102" max="4102" width="14" style="59" customWidth="1"/>
    <col min="4103" max="4103" width="17.85546875" style="59" customWidth="1"/>
    <col min="4104" max="4104" width="14.42578125" style="59" customWidth="1"/>
    <col min="4105" max="4105" width="14.140625" style="59" bestFit="1" customWidth="1"/>
    <col min="4106" max="4106" width="11.42578125" style="59"/>
    <col min="4107" max="4107" width="11.5703125" style="59" bestFit="1" customWidth="1"/>
    <col min="4108" max="4109" width="11.42578125" style="59"/>
    <col min="4110" max="4110" width="11.85546875" style="59" bestFit="1" customWidth="1"/>
    <col min="4111" max="4111" width="11.42578125" style="59"/>
    <col min="4112" max="4112" width="11.85546875" style="59" bestFit="1" customWidth="1"/>
    <col min="4113" max="4352" width="11.42578125" style="59"/>
    <col min="4353" max="4353" width="13.140625" style="59" customWidth="1"/>
    <col min="4354" max="4354" width="27.5703125" style="59" customWidth="1"/>
    <col min="4355" max="4355" width="15.28515625" style="59" bestFit="1" customWidth="1"/>
    <col min="4356" max="4356" width="12.5703125" style="59" customWidth="1"/>
    <col min="4357" max="4357" width="11.5703125" style="59" bestFit="1" customWidth="1"/>
    <col min="4358" max="4358" width="14" style="59" customWidth="1"/>
    <col min="4359" max="4359" width="17.85546875" style="59" customWidth="1"/>
    <col min="4360" max="4360" width="14.42578125" style="59" customWidth="1"/>
    <col min="4361" max="4361" width="14.140625" style="59" bestFit="1" customWidth="1"/>
    <col min="4362" max="4362" width="11.42578125" style="59"/>
    <col min="4363" max="4363" width="11.5703125" style="59" bestFit="1" customWidth="1"/>
    <col min="4364" max="4365" width="11.42578125" style="59"/>
    <col min="4366" max="4366" width="11.85546875" style="59" bestFit="1" customWidth="1"/>
    <col min="4367" max="4367" width="11.42578125" style="59"/>
    <col min="4368" max="4368" width="11.85546875" style="59" bestFit="1" customWidth="1"/>
    <col min="4369" max="4608" width="11.42578125" style="59"/>
    <col min="4609" max="4609" width="13.140625" style="59" customWidth="1"/>
    <col min="4610" max="4610" width="27.5703125" style="59" customWidth="1"/>
    <col min="4611" max="4611" width="15.28515625" style="59" bestFit="1" customWidth="1"/>
    <col min="4612" max="4612" width="12.5703125" style="59" customWidth="1"/>
    <col min="4613" max="4613" width="11.5703125" style="59" bestFit="1" customWidth="1"/>
    <col min="4614" max="4614" width="14" style="59" customWidth="1"/>
    <col min="4615" max="4615" width="17.85546875" style="59" customWidth="1"/>
    <col min="4616" max="4616" width="14.42578125" style="59" customWidth="1"/>
    <col min="4617" max="4617" width="14.140625" style="59" bestFit="1" customWidth="1"/>
    <col min="4618" max="4618" width="11.42578125" style="59"/>
    <col min="4619" max="4619" width="11.5703125" style="59" bestFit="1" customWidth="1"/>
    <col min="4620" max="4621" width="11.42578125" style="59"/>
    <col min="4622" max="4622" width="11.85546875" style="59" bestFit="1" customWidth="1"/>
    <col min="4623" max="4623" width="11.42578125" style="59"/>
    <col min="4624" max="4624" width="11.85546875" style="59" bestFit="1" customWidth="1"/>
    <col min="4625" max="4864" width="11.42578125" style="59"/>
    <col min="4865" max="4865" width="13.140625" style="59" customWidth="1"/>
    <col min="4866" max="4866" width="27.5703125" style="59" customWidth="1"/>
    <col min="4867" max="4867" width="15.28515625" style="59" bestFit="1" customWidth="1"/>
    <col min="4868" max="4868" width="12.5703125" style="59" customWidth="1"/>
    <col min="4869" max="4869" width="11.5703125" style="59" bestFit="1" customWidth="1"/>
    <col min="4870" max="4870" width="14" style="59" customWidth="1"/>
    <col min="4871" max="4871" width="17.85546875" style="59" customWidth="1"/>
    <col min="4872" max="4872" width="14.42578125" style="59" customWidth="1"/>
    <col min="4873" max="4873" width="14.140625" style="59" bestFit="1" customWidth="1"/>
    <col min="4874" max="4874" width="11.42578125" style="59"/>
    <col min="4875" max="4875" width="11.5703125" style="59" bestFit="1" customWidth="1"/>
    <col min="4876" max="4877" width="11.42578125" style="59"/>
    <col min="4878" max="4878" width="11.85546875" style="59" bestFit="1" customWidth="1"/>
    <col min="4879" max="4879" width="11.42578125" style="59"/>
    <col min="4880" max="4880" width="11.85546875" style="59" bestFit="1" customWidth="1"/>
    <col min="4881" max="5120" width="11.42578125" style="59"/>
    <col min="5121" max="5121" width="13.140625" style="59" customWidth="1"/>
    <col min="5122" max="5122" width="27.5703125" style="59" customWidth="1"/>
    <col min="5123" max="5123" width="15.28515625" style="59" bestFit="1" customWidth="1"/>
    <col min="5124" max="5124" width="12.5703125" style="59" customWidth="1"/>
    <col min="5125" max="5125" width="11.5703125" style="59" bestFit="1" customWidth="1"/>
    <col min="5126" max="5126" width="14" style="59" customWidth="1"/>
    <col min="5127" max="5127" width="17.85546875" style="59" customWidth="1"/>
    <col min="5128" max="5128" width="14.42578125" style="59" customWidth="1"/>
    <col min="5129" max="5129" width="14.140625" style="59" bestFit="1" customWidth="1"/>
    <col min="5130" max="5130" width="11.42578125" style="59"/>
    <col min="5131" max="5131" width="11.5703125" style="59" bestFit="1" customWidth="1"/>
    <col min="5132" max="5133" width="11.42578125" style="59"/>
    <col min="5134" max="5134" width="11.85546875" style="59" bestFit="1" customWidth="1"/>
    <col min="5135" max="5135" width="11.42578125" style="59"/>
    <col min="5136" max="5136" width="11.85546875" style="59" bestFit="1" customWidth="1"/>
    <col min="5137" max="5376" width="11.42578125" style="59"/>
    <col min="5377" max="5377" width="13.140625" style="59" customWidth="1"/>
    <col min="5378" max="5378" width="27.5703125" style="59" customWidth="1"/>
    <col min="5379" max="5379" width="15.28515625" style="59" bestFit="1" customWidth="1"/>
    <col min="5380" max="5380" width="12.5703125" style="59" customWidth="1"/>
    <col min="5381" max="5381" width="11.5703125" style="59" bestFit="1" customWidth="1"/>
    <col min="5382" max="5382" width="14" style="59" customWidth="1"/>
    <col min="5383" max="5383" width="17.85546875" style="59" customWidth="1"/>
    <col min="5384" max="5384" width="14.42578125" style="59" customWidth="1"/>
    <col min="5385" max="5385" width="14.140625" style="59" bestFit="1" customWidth="1"/>
    <col min="5386" max="5386" width="11.42578125" style="59"/>
    <col min="5387" max="5387" width="11.5703125" style="59" bestFit="1" customWidth="1"/>
    <col min="5388" max="5389" width="11.42578125" style="59"/>
    <col min="5390" max="5390" width="11.85546875" style="59" bestFit="1" customWidth="1"/>
    <col min="5391" max="5391" width="11.42578125" style="59"/>
    <col min="5392" max="5392" width="11.85546875" style="59" bestFit="1" customWidth="1"/>
    <col min="5393" max="5632" width="11.42578125" style="59"/>
    <col min="5633" max="5633" width="13.140625" style="59" customWidth="1"/>
    <col min="5634" max="5634" width="27.5703125" style="59" customWidth="1"/>
    <col min="5635" max="5635" width="15.28515625" style="59" bestFit="1" customWidth="1"/>
    <col min="5636" max="5636" width="12.5703125" style="59" customWidth="1"/>
    <col min="5637" max="5637" width="11.5703125" style="59" bestFit="1" customWidth="1"/>
    <col min="5638" max="5638" width="14" style="59" customWidth="1"/>
    <col min="5639" max="5639" width="17.85546875" style="59" customWidth="1"/>
    <col min="5640" max="5640" width="14.42578125" style="59" customWidth="1"/>
    <col min="5641" max="5641" width="14.140625" style="59" bestFit="1" customWidth="1"/>
    <col min="5642" max="5642" width="11.42578125" style="59"/>
    <col min="5643" max="5643" width="11.5703125" style="59" bestFit="1" customWidth="1"/>
    <col min="5644" max="5645" width="11.42578125" style="59"/>
    <col min="5646" max="5646" width="11.85546875" style="59" bestFit="1" customWidth="1"/>
    <col min="5647" max="5647" width="11.42578125" style="59"/>
    <col min="5648" max="5648" width="11.85546875" style="59" bestFit="1" customWidth="1"/>
    <col min="5649" max="5888" width="11.42578125" style="59"/>
    <col min="5889" max="5889" width="13.140625" style="59" customWidth="1"/>
    <col min="5890" max="5890" width="27.5703125" style="59" customWidth="1"/>
    <col min="5891" max="5891" width="15.28515625" style="59" bestFit="1" customWidth="1"/>
    <col min="5892" max="5892" width="12.5703125" style="59" customWidth="1"/>
    <col min="5893" max="5893" width="11.5703125" style="59" bestFit="1" customWidth="1"/>
    <col min="5894" max="5894" width="14" style="59" customWidth="1"/>
    <col min="5895" max="5895" width="17.85546875" style="59" customWidth="1"/>
    <col min="5896" max="5896" width="14.42578125" style="59" customWidth="1"/>
    <col min="5897" max="5897" width="14.140625" style="59" bestFit="1" customWidth="1"/>
    <col min="5898" max="5898" width="11.42578125" style="59"/>
    <col min="5899" max="5899" width="11.5703125" style="59" bestFit="1" customWidth="1"/>
    <col min="5900" max="5901" width="11.42578125" style="59"/>
    <col min="5902" max="5902" width="11.85546875" style="59" bestFit="1" customWidth="1"/>
    <col min="5903" max="5903" width="11.42578125" style="59"/>
    <col min="5904" max="5904" width="11.85546875" style="59" bestFit="1" customWidth="1"/>
    <col min="5905" max="6144" width="11.42578125" style="59"/>
    <col min="6145" max="6145" width="13.140625" style="59" customWidth="1"/>
    <col min="6146" max="6146" width="27.5703125" style="59" customWidth="1"/>
    <col min="6147" max="6147" width="15.28515625" style="59" bestFit="1" customWidth="1"/>
    <col min="6148" max="6148" width="12.5703125" style="59" customWidth="1"/>
    <col min="6149" max="6149" width="11.5703125" style="59" bestFit="1" customWidth="1"/>
    <col min="6150" max="6150" width="14" style="59" customWidth="1"/>
    <col min="6151" max="6151" width="17.85546875" style="59" customWidth="1"/>
    <col min="6152" max="6152" width="14.42578125" style="59" customWidth="1"/>
    <col min="6153" max="6153" width="14.140625" style="59" bestFit="1" customWidth="1"/>
    <col min="6154" max="6154" width="11.42578125" style="59"/>
    <col min="6155" max="6155" width="11.5703125" style="59" bestFit="1" customWidth="1"/>
    <col min="6156" max="6157" width="11.42578125" style="59"/>
    <col min="6158" max="6158" width="11.85546875" style="59" bestFit="1" customWidth="1"/>
    <col min="6159" max="6159" width="11.42578125" style="59"/>
    <col min="6160" max="6160" width="11.85546875" style="59" bestFit="1" customWidth="1"/>
    <col min="6161" max="6400" width="11.42578125" style="59"/>
    <col min="6401" max="6401" width="13.140625" style="59" customWidth="1"/>
    <col min="6402" max="6402" width="27.5703125" style="59" customWidth="1"/>
    <col min="6403" max="6403" width="15.28515625" style="59" bestFit="1" customWidth="1"/>
    <col min="6404" max="6404" width="12.5703125" style="59" customWidth="1"/>
    <col min="6405" max="6405" width="11.5703125" style="59" bestFit="1" customWidth="1"/>
    <col min="6406" max="6406" width="14" style="59" customWidth="1"/>
    <col min="6407" max="6407" width="17.85546875" style="59" customWidth="1"/>
    <col min="6408" max="6408" width="14.42578125" style="59" customWidth="1"/>
    <col min="6409" max="6409" width="14.140625" style="59" bestFit="1" customWidth="1"/>
    <col min="6410" max="6410" width="11.42578125" style="59"/>
    <col min="6411" max="6411" width="11.5703125" style="59" bestFit="1" customWidth="1"/>
    <col min="6412" max="6413" width="11.42578125" style="59"/>
    <col min="6414" max="6414" width="11.85546875" style="59" bestFit="1" customWidth="1"/>
    <col min="6415" max="6415" width="11.42578125" style="59"/>
    <col min="6416" max="6416" width="11.85546875" style="59" bestFit="1" customWidth="1"/>
    <col min="6417" max="6656" width="11.42578125" style="59"/>
    <col min="6657" max="6657" width="13.140625" style="59" customWidth="1"/>
    <col min="6658" max="6658" width="27.5703125" style="59" customWidth="1"/>
    <col min="6659" max="6659" width="15.28515625" style="59" bestFit="1" customWidth="1"/>
    <col min="6660" max="6660" width="12.5703125" style="59" customWidth="1"/>
    <col min="6661" max="6661" width="11.5703125" style="59" bestFit="1" customWidth="1"/>
    <col min="6662" max="6662" width="14" style="59" customWidth="1"/>
    <col min="6663" max="6663" width="17.85546875" style="59" customWidth="1"/>
    <col min="6664" max="6664" width="14.42578125" style="59" customWidth="1"/>
    <col min="6665" max="6665" width="14.140625" style="59" bestFit="1" customWidth="1"/>
    <col min="6666" max="6666" width="11.42578125" style="59"/>
    <col min="6667" max="6667" width="11.5703125" style="59" bestFit="1" customWidth="1"/>
    <col min="6668" max="6669" width="11.42578125" style="59"/>
    <col min="6670" max="6670" width="11.85546875" style="59" bestFit="1" customWidth="1"/>
    <col min="6671" max="6671" width="11.42578125" style="59"/>
    <col min="6672" max="6672" width="11.85546875" style="59" bestFit="1" customWidth="1"/>
    <col min="6673" max="6912" width="11.42578125" style="59"/>
    <col min="6913" max="6913" width="13.140625" style="59" customWidth="1"/>
    <col min="6914" max="6914" width="27.5703125" style="59" customWidth="1"/>
    <col min="6915" max="6915" width="15.28515625" style="59" bestFit="1" customWidth="1"/>
    <col min="6916" max="6916" width="12.5703125" style="59" customWidth="1"/>
    <col min="6917" max="6917" width="11.5703125" style="59" bestFit="1" customWidth="1"/>
    <col min="6918" max="6918" width="14" style="59" customWidth="1"/>
    <col min="6919" max="6919" width="17.85546875" style="59" customWidth="1"/>
    <col min="6920" max="6920" width="14.42578125" style="59" customWidth="1"/>
    <col min="6921" max="6921" width="14.140625" style="59" bestFit="1" customWidth="1"/>
    <col min="6922" max="6922" width="11.42578125" style="59"/>
    <col min="6923" max="6923" width="11.5703125" style="59" bestFit="1" customWidth="1"/>
    <col min="6924" max="6925" width="11.42578125" style="59"/>
    <col min="6926" max="6926" width="11.85546875" style="59" bestFit="1" customWidth="1"/>
    <col min="6927" max="6927" width="11.42578125" style="59"/>
    <col min="6928" max="6928" width="11.85546875" style="59" bestFit="1" customWidth="1"/>
    <col min="6929" max="7168" width="11.42578125" style="59"/>
    <col min="7169" max="7169" width="13.140625" style="59" customWidth="1"/>
    <col min="7170" max="7170" width="27.5703125" style="59" customWidth="1"/>
    <col min="7171" max="7171" width="15.28515625" style="59" bestFit="1" customWidth="1"/>
    <col min="7172" max="7172" width="12.5703125" style="59" customWidth="1"/>
    <col min="7173" max="7173" width="11.5703125" style="59" bestFit="1" customWidth="1"/>
    <col min="7174" max="7174" width="14" style="59" customWidth="1"/>
    <col min="7175" max="7175" width="17.85546875" style="59" customWidth="1"/>
    <col min="7176" max="7176" width="14.42578125" style="59" customWidth="1"/>
    <col min="7177" max="7177" width="14.140625" style="59" bestFit="1" customWidth="1"/>
    <col min="7178" max="7178" width="11.42578125" style="59"/>
    <col min="7179" max="7179" width="11.5703125" style="59" bestFit="1" customWidth="1"/>
    <col min="7180" max="7181" width="11.42578125" style="59"/>
    <col min="7182" max="7182" width="11.85546875" style="59" bestFit="1" customWidth="1"/>
    <col min="7183" max="7183" width="11.42578125" style="59"/>
    <col min="7184" max="7184" width="11.85546875" style="59" bestFit="1" customWidth="1"/>
    <col min="7185" max="7424" width="11.42578125" style="59"/>
    <col min="7425" max="7425" width="13.140625" style="59" customWidth="1"/>
    <col min="7426" max="7426" width="27.5703125" style="59" customWidth="1"/>
    <col min="7427" max="7427" width="15.28515625" style="59" bestFit="1" customWidth="1"/>
    <col min="7428" max="7428" width="12.5703125" style="59" customWidth="1"/>
    <col min="7429" max="7429" width="11.5703125" style="59" bestFit="1" customWidth="1"/>
    <col min="7430" max="7430" width="14" style="59" customWidth="1"/>
    <col min="7431" max="7431" width="17.85546875" style="59" customWidth="1"/>
    <col min="7432" max="7432" width="14.42578125" style="59" customWidth="1"/>
    <col min="7433" max="7433" width="14.140625" style="59" bestFit="1" customWidth="1"/>
    <col min="7434" max="7434" width="11.42578125" style="59"/>
    <col min="7435" max="7435" width="11.5703125" style="59" bestFit="1" customWidth="1"/>
    <col min="7436" max="7437" width="11.42578125" style="59"/>
    <col min="7438" max="7438" width="11.85546875" style="59" bestFit="1" customWidth="1"/>
    <col min="7439" max="7439" width="11.42578125" style="59"/>
    <col min="7440" max="7440" width="11.85546875" style="59" bestFit="1" customWidth="1"/>
    <col min="7441" max="7680" width="11.42578125" style="59"/>
    <col min="7681" max="7681" width="13.140625" style="59" customWidth="1"/>
    <col min="7682" max="7682" width="27.5703125" style="59" customWidth="1"/>
    <col min="7683" max="7683" width="15.28515625" style="59" bestFit="1" customWidth="1"/>
    <col min="7684" max="7684" width="12.5703125" style="59" customWidth="1"/>
    <col min="7685" max="7685" width="11.5703125" style="59" bestFit="1" customWidth="1"/>
    <col min="7686" max="7686" width="14" style="59" customWidth="1"/>
    <col min="7687" max="7687" width="17.85546875" style="59" customWidth="1"/>
    <col min="7688" max="7688" width="14.42578125" style="59" customWidth="1"/>
    <col min="7689" max="7689" width="14.140625" style="59" bestFit="1" customWidth="1"/>
    <col min="7690" max="7690" width="11.42578125" style="59"/>
    <col min="7691" max="7691" width="11.5703125" style="59" bestFit="1" customWidth="1"/>
    <col min="7692" max="7693" width="11.42578125" style="59"/>
    <col min="7694" max="7694" width="11.85546875" style="59" bestFit="1" customWidth="1"/>
    <col min="7695" max="7695" width="11.42578125" style="59"/>
    <col min="7696" max="7696" width="11.85546875" style="59" bestFit="1" customWidth="1"/>
    <col min="7697" max="7936" width="11.42578125" style="59"/>
    <col min="7937" max="7937" width="13.140625" style="59" customWidth="1"/>
    <col min="7938" max="7938" width="27.5703125" style="59" customWidth="1"/>
    <col min="7939" max="7939" width="15.28515625" style="59" bestFit="1" customWidth="1"/>
    <col min="7940" max="7940" width="12.5703125" style="59" customWidth="1"/>
    <col min="7941" max="7941" width="11.5703125" style="59" bestFit="1" customWidth="1"/>
    <col min="7942" max="7942" width="14" style="59" customWidth="1"/>
    <col min="7943" max="7943" width="17.85546875" style="59" customWidth="1"/>
    <col min="7944" max="7944" width="14.42578125" style="59" customWidth="1"/>
    <col min="7945" max="7945" width="14.140625" style="59" bestFit="1" customWidth="1"/>
    <col min="7946" max="7946" width="11.42578125" style="59"/>
    <col min="7947" max="7947" width="11.5703125" style="59" bestFit="1" customWidth="1"/>
    <col min="7948" max="7949" width="11.42578125" style="59"/>
    <col min="7950" max="7950" width="11.85546875" style="59" bestFit="1" customWidth="1"/>
    <col min="7951" max="7951" width="11.42578125" style="59"/>
    <col min="7952" max="7952" width="11.85546875" style="59" bestFit="1" customWidth="1"/>
    <col min="7953" max="8192" width="11.42578125" style="59"/>
    <col min="8193" max="8193" width="13.140625" style="59" customWidth="1"/>
    <col min="8194" max="8194" width="27.5703125" style="59" customWidth="1"/>
    <col min="8195" max="8195" width="15.28515625" style="59" bestFit="1" customWidth="1"/>
    <col min="8196" max="8196" width="12.5703125" style="59" customWidth="1"/>
    <col min="8197" max="8197" width="11.5703125" style="59" bestFit="1" customWidth="1"/>
    <col min="8198" max="8198" width="14" style="59" customWidth="1"/>
    <col min="8199" max="8199" width="17.85546875" style="59" customWidth="1"/>
    <col min="8200" max="8200" width="14.42578125" style="59" customWidth="1"/>
    <col min="8201" max="8201" width="14.140625" style="59" bestFit="1" customWidth="1"/>
    <col min="8202" max="8202" width="11.42578125" style="59"/>
    <col min="8203" max="8203" width="11.5703125" style="59" bestFit="1" customWidth="1"/>
    <col min="8204" max="8205" width="11.42578125" style="59"/>
    <col min="8206" max="8206" width="11.85546875" style="59" bestFit="1" customWidth="1"/>
    <col min="8207" max="8207" width="11.42578125" style="59"/>
    <col min="8208" max="8208" width="11.85546875" style="59" bestFit="1" customWidth="1"/>
    <col min="8209" max="8448" width="11.42578125" style="59"/>
    <col min="8449" max="8449" width="13.140625" style="59" customWidth="1"/>
    <col min="8450" max="8450" width="27.5703125" style="59" customWidth="1"/>
    <col min="8451" max="8451" width="15.28515625" style="59" bestFit="1" customWidth="1"/>
    <col min="8452" max="8452" width="12.5703125" style="59" customWidth="1"/>
    <col min="8453" max="8453" width="11.5703125" style="59" bestFit="1" customWidth="1"/>
    <col min="8454" max="8454" width="14" style="59" customWidth="1"/>
    <col min="8455" max="8455" width="17.85546875" style="59" customWidth="1"/>
    <col min="8456" max="8456" width="14.42578125" style="59" customWidth="1"/>
    <col min="8457" max="8457" width="14.140625" style="59" bestFit="1" customWidth="1"/>
    <col min="8458" max="8458" width="11.42578125" style="59"/>
    <col min="8459" max="8459" width="11.5703125" style="59" bestFit="1" customWidth="1"/>
    <col min="8460" max="8461" width="11.42578125" style="59"/>
    <col min="8462" max="8462" width="11.85546875" style="59" bestFit="1" customWidth="1"/>
    <col min="8463" max="8463" width="11.42578125" style="59"/>
    <col min="8464" max="8464" width="11.85546875" style="59" bestFit="1" customWidth="1"/>
    <col min="8465" max="8704" width="11.42578125" style="59"/>
    <col min="8705" max="8705" width="13.140625" style="59" customWidth="1"/>
    <col min="8706" max="8706" width="27.5703125" style="59" customWidth="1"/>
    <col min="8707" max="8707" width="15.28515625" style="59" bestFit="1" customWidth="1"/>
    <col min="8708" max="8708" width="12.5703125" style="59" customWidth="1"/>
    <col min="8709" max="8709" width="11.5703125" style="59" bestFit="1" customWidth="1"/>
    <col min="8710" max="8710" width="14" style="59" customWidth="1"/>
    <col min="8711" max="8711" width="17.85546875" style="59" customWidth="1"/>
    <col min="8712" max="8712" width="14.42578125" style="59" customWidth="1"/>
    <col min="8713" max="8713" width="14.140625" style="59" bestFit="1" customWidth="1"/>
    <col min="8714" max="8714" width="11.42578125" style="59"/>
    <col min="8715" max="8715" width="11.5703125" style="59" bestFit="1" customWidth="1"/>
    <col min="8716" max="8717" width="11.42578125" style="59"/>
    <col min="8718" max="8718" width="11.85546875" style="59" bestFit="1" customWidth="1"/>
    <col min="8719" max="8719" width="11.42578125" style="59"/>
    <col min="8720" max="8720" width="11.85546875" style="59" bestFit="1" customWidth="1"/>
    <col min="8721" max="8960" width="11.42578125" style="59"/>
    <col min="8961" max="8961" width="13.140625" style="59" customWidth="1"/>
    <col min="8962" max="8962" width="27.5703125" style="59" customWidth="1"/>
    <col min="8963" max="8963" width="15.28515625" style="59" bestFit="1" customWidth="1"/>
    <col min="8964" max="8964" width="12.5703125" style="59" customWidth="1"/>
    <col min="8965" max="8965" width="11.5703125" style="59" bestFit="1" customWidth="1"/>
    <col min="8966" max="8966" width="14" style="59" customWidth="1"/>
    <col min="8967" max="8967" width="17.85546875" style="59" customWidth="1"/>
    <col min="8968" max="8968" width="14.42578125" style="59" customWidth="1"/>
    <col min="8969" max="8969" width="14.140625" style="59" bestFit="1" customWidth="1"/>
    <col min="8970" max="8970" width="11.42578125" style="59"/>
    <col min="8971" max="8971" width="11.5703125" style="59" bestFit="1" customWidth="1"/>
    <col min="8972" max="8973" width="11.42578125" style="59"/>
    <col min="8974" max="8974" width="11.85546875" style="59" bestFit="1" customWidth="1"/>
    <col min="8975" max="8975" width="11.42578125" style="59"/>
    <col min="8976" max="8976" width="11.85546875" style="59" bestFit="1" customWidth="1"/>
    <col min="8977" max="9216" width="11.42578125" style="59"/>
    <col min="9217" max="9217" width="13.140625" style="59" customWidth="1"/>
    <col min="9218" max="9218" width="27.5703125" style="59" customWidth="1"/>
    <col min="9219" max="9219" width="15.28515625" style="59" bestFit="1" customWidth="1"/>
    <col min="9220" max="9220" width="12.5703125" style="59" customWidth="1"/>
    <col min="9221" max="9221" width="11.5703125" style="59" bestFit="1" customWidth="1"/>
    <col min="9222" max="9222" width="14" style="59" customWidth="1"/>
    <col min="9223" max="9223" width="17.85546875" style="59" customWidth="1"/>
    <col min="9224" max="9224" width="14.42578125" style="59" customWidth="1"/>
    <col min="9225" max="9225" width="14.140625" style="59" bestFit="1" customWidth="1"/>
    <col min="9226" max="9226" width="11.42578125" style="59"/>
    <col min="9227" max="9227" width="11.5703125" style="59" bestFit="1" customWidth="1"/>
    <col min="9228" max="9229" width="11.42578125" style="59"/>
    <col min="9230" max="9230" width="11.85546875" style="59" bestFit="1" customWidth="1"/>
    <col min="9231" max="9231" width="11.42578125" style="59"/>
    <col min="9232" max="9232" width="11.85546875" style="59" bestFit="1" customWidth="1"/>
    <col min="9233" max="9472" width="11.42578125" style="59"/>
    <col min="9473" max="9473" width="13.140625" style="59" customWidth="1"/>
    <col min="9474" max="9474" width="27.5703125" style="59" customWidth="1"/>
    <col min="9475" max="9475" width="15.28515625" style="59" bestFit="1" customWidth="1"/>
    <col min="9476" max="9476" width="12.5703125" style="59" customWidth="1"/>
    <col min="9477" max="9477" width="11.5703125" style="59" bestFit="1" customWidth="1"/>
    <col min="9478" max="9478" width="14" style="59" customWidth="1"/>
    <col min="9479" max="9479" width="17.85546875" style="59" customWidth="1"/>
    <col min="9480" max="9480" width="14.42578125" style="59" customWidth="1"/>
    <col min="9481" max="9481" width="14.140625" style="59" bestFit="1" customWidth="1"/>
    <col min="9482" max="9482" width="11.42578125" style="59"/>
    <col min="9483" max="9483" width="11.5703125" style="59" bestFit="1" customWidth="1"/>
    <col min="9484" max="9485" width="11.42578125" style="59"/>
    <col min="9486" max="9486" width="11.85546875" style="59" bestFit="1" customWidth="1"/>
    <col min="9487" max="9487" width="11.42578125" style="59"/>
    <col min="9488" max="9488" width="11.85546875" style="59" bestFit="1" customWidth="1"/>
    <col min="9489" max="9728" width="11.42578125" style="59"/>
    <col min="9729" max="9729" width="13.140625" style="59" customWidth="1"/>
    <col min="9730" max="9730" width="27.5703125" style="59" customWidth="1"/>
    <col min="9731" max="9731" width="15.28515625" style="59" bestFit="1" customWidth="1"/>
    <col min="9732" max="9732" width="12.5703125" style="59" customWidth="1"/>
    <col min="9733" max="9733" width="11.5703125" style="59" bestFit="1" customWidth="1"/>
    <col min="9734" max="9734" width="14" style="59" customWidth="1"/>
    <col min="9735" max="9735" width="17.85546875" style="59" customWidth="1"/>
    <col min="9736" max="9736" width="14.42578125" style="59" customWidth="1"/>
    <col min="9737" max="9737" width="14.140625" style="59" bestFit="1" customWidth="1"/>
    <col min="9738" max="9738" width="11.42578125" style="59"/>
    <col min="9739" max="9739" width="11.5703125" style="59" bestFit="1" customWidth="1"/>
    <col min="9740" max="9741" width="11.42578125" style="59"/>
    <col min="9742" max="9742" width="11.85546875" style="59" bestFit="1" customWidth="1"/>
    <col min="9743" max="9743" width="11.42578125" style="59"/>
    <col min="9744" max="9744" width="11.85546875" style="59" bestFit="1" customWidth="1"/>
    <col min="9745" max="9984" width="11.42578125" style="59"/>
    <col min="9985" max="9985" width="13.140625" style="59" customWidth="1"/>
    <col min="9986" max="9986" width="27.5703125" style="59" customWidth="1"/>
    <col min="9987" max="9987" width="15.28515625" style="59" bestFit="1" customWidth="1"/>
    <col min="9988" max="9988" width="12.5703125" style="59" customWidth="1"/>
    <col min="9989" max="9989" width="11.5703125" style="59" bestFit="1" customWidth="1"/>
    <col min="9990" max="9990" width="14" style="59" customWidth="1"/>
    <col min="9991" max="9991" width="17.85546875" style="59" customWidth="1"/>
    <col min="9992" max="9992" width="14.42578125" style="59" customWidth="1"/>
    <col min="9993" max="9993" width="14.140625" style="59" bestFit="1" customWidth="1"/>
    <col min="9994" max="9994" width="11.42578125" style="59"/>
    <col min="9995" max="9995" width="11.5703125" style="59" bestFit="1" customWidth="1"/>
    <col min="9996" max="9997" width="11.42578125" style="59"/>
    <col min="9998" max="9998" width="11.85546875" style="59" bestFit="1" customWidth="1"/>
    <col min="9999" max="9999" width="11.42578125" style="59"/>
    <col min="10000" max="10000" width="11.85546875" style="59" bestFit="1" customWidth="1"/>
    <col min="10001" max="10240" width="11.42578125" style="59"/>
    <col min="10241" max="10241" width="13.140625" style="59" customWidth="1"/>
    <col min="10242" max="10242" width="27.5703125" style="59" customWidth="1"/>
    <col min="10243" max="10243" width="15.28515625" style="59" bestFit="1" customWidth="1"/>
    <col min="10244" max="10244" width="12.5703125" style="59" customWidth="1"/>
    <col min="10245" max="10245" width="11.5703125" style="59" bestFit="1" customWidth="1"/>
    <col min="10246" max="10246" width="14" style="59" customWidth="1"/>
    <col min="10247" max="10247" width="17.85546875" style="59" customWidth="1"/>
    <col min="10248" max="10248" width="14.42578125" style="59" customWidth="1"/>
    <col min="10249" max="10249" width="14.140625" style="59" bestFit="1" customWidth="1"/>
    <col min="10250" max="10250" width="11.42578125" style="59"/>
    <col min="10251" max="10251" width="11.5703125" style="59" bestFit="1" customWidth="1"/>
    <col min="10252" max="10253" width="11.42578125" style="59"/>
    <col min="10254" max="10254" width="11.85546875" style="59" bestFit="1" customWidth="1"/>
    <col min="10255" max="10255" width="11.42578125" style="59"/>
    <col min="10256" max="10256" width="11.85546875" style="59" bestFit="1" customWidth="1"/>
    <col min="10257" max="10496" width="11.42578125" style="59"/>
    <col min="10497" max="10497" width="13.140625" style="59" customWidth="1"/>
    <col min="10498" max="10498" width="27.5703125" style="59" customWidth="1"/>
    <col min="10499" max="10499" width="15.28515625" style="59" bestFit="1" customWidth="1"/>
    <col min="10500" max="10500" width="12.5703125" style="59" customWidth="1"/>
    <col min="10501" max="10501" width="11.5703125" style="59" bestFit="1" customWidth="1"/>
    <col min="10502" max="10502" width="14" style="59" customWidth="1"/>
    <col min="10503" max="10503" width="17.85546875" style="59" customWidth="1"/>
    <col min="10504" max="10504" width="14.42578125" style="59" customWidth="1"/>
    <col min="10505" max="10505" width="14.140625" style="59" bestFit="1" customWidth="1"/>
    <col min="10506" max="10506" width="11.42578125" style="59"/>
    <col min="10507" max="10507" width="11.5703125" style="59" bestFit="1" customWidth="1"/>
    <col min="10508" max="10509" width="11.42578125" style="59"/>
    <col min="10510" max="10510" width="11.85546875" style="59" bestFit="1" customWidth="1"/>
    <col min="10511" max="10511" width="11.42578125" style="59"/>
    <col min="10512" max="10512" width="11.85546875" style="59" bestFit="1" customWidth="1"/>
    <col min="10513" max="10752" width="11.42578125" style="59"/>
    <col min="10753" max="10753" width="13.140625" style="59" customWidth="1"/>
    <col min="10754" max="10754" width="27.5703125" style="59" customWidth="1"/>
    <col min="10755" max="10755" width="15.28515625" style="59" bestFit="1" customWidth="1"/>
    <col min="10756" max="10756" width="12.5703125" style="59" customWidth="1"/>
    <col min="10757" max="10757" width="11.5703125" style="59" bestFit="1" customWidth="1"/>
    <col min="10758" max="10758" width="14" style="59" customWidth="1"/>
    <col min="10759" max="10759" width="17.85546875" style="59" customWidth="1"/>
    <col min="10760" max="10760" width="14.42578125" style="59" customWidth="1"/>
    <col min="10761" max="10761" width="14.140625" style="59" bestFit="1" customWidth="1"/>
    <col min="10762" max="10762" width="11.42578125" style="59"/>
    <col min="10763" max="10763" width="11.5703125" style="59" bestFit="1" customWidth="1"/>
    <col min="10764" max="10765" width="11.42578125" style="59"/>
    <col min="10766" max="10766" width="11.85546875" style="59" bestFit="1" customWidth="1"/>
    <col min="10767" max="10767" width="11.42578125" style="59"/>
    <col min="10768" max="10768" width="11.85546875" style="59" bestFit="1" customWidth="1"/>
    <col min="10769" max="11008" width="11.42578125" style="59"/>
    <col min="11009" max="11009" width="13.140625" style="59" customWidth="1"/>
    <col min="11010" max="11010" width="27.5703125" style="59" customWidth="1"/>
    <col min="11011" max="11011" width="15.28515625" style="59" bestFit="1" customWidth="1"/>
    <col min="11012" max="11012" width="12.5703125" style="59" customWidth="1"/>
    <col min="11013" max="11013" width="11.5703125" style="59" bestFit="1" customWidth="1"/>
    <col min="11014" max="11014" width="14" style="59" customWidth="1"/>
    <col min="11015" max="11015" width="17.85546875" style="59" customWidth="1"/>
    <col min="11016" max="11016" width="14.42578125" style="59" customWidth="1"/>
    <col min="11017" max="11017" width="14.140625" style="59" bestFit="1" customWidth="1"/>
    <col min="11018" max="11018" width="11.42578125" style="59"/>
    <col min="11019" max="11019" width="11.5703125" style="59" bestFit="1" customWidth="1"/>
    <col min="11020" max="11021" width="11.42578125" style="59"/>
    <col min="11022" max="11022" width="11.85546875" style="59" bestFit="1" customWidth="1"/>
    <col min="11023" max="11023" width="11.42578125" style="59"/>
    <col min="11024" max="11024" width="11.85546875" style="59" bestFit="1" customWidth="1"/>
    <col min="11025" max="11264" width="11.42578125" style="59"/>
    <col min="11265" max="11265" width="13.140625" style="59" customWidth="1"/>
    <col min="11266" max="11266" width="27.5703125" style="59" customWidth="1"/>
    <col min="11267" max="11267" width="15.28515625" style="59" bestFit="1" customWidth="1"/>
    <col min="11268" max="11268" width="12.5703125" style="59" customWidth="1"/>
    <col min="11269" max="11269" width="11.5703125" style="59" bestFit="1" customWidth="1"/>
    <col min="11270" max="11270" width="14" style="59" customWidth="1"/>
    <col min="11271" max="11271" width="17.85546875" style="59" customWidth="1"/>
    <col min="11272" max="11272" width="14.42578125" style="59" customWidth="1"/>
    <col min="11273" max="11273" width="14.140625" style="59" bestFit="1" customWidth="1"/>
    <col min="11274" max="11274" width="11.42578125" style="59"/>
    <col min="11275" max="11275" width="11.5703125" style="59" bestFit="1" customWidth="1"/>
    <col min="11276" max="11277" width="11.42578125" style="59"/>
    <col min="11278" max="11278" width="11.85546875" style="59" bestFit="1" customWidth="1"/>
    <col min="11279" max="11279" width="11.42578125" style="59"/>
    <col min="11280" max="11280" width="11.85546875" style="59" bestFit="1" customWidth="1"/>
    <col min="11281" max="11520" width="11.42578125" style="59"/>
    <col min="11521" max="11521" width="13.140625" style="59" customWidth="1"/>
    <col min="11522" max="11522" width="27.5703125" style="59" customWidth="1"/>
    <col min="11523" max="11523" width="15.28515625" style="59" bestFit="1" customWidth="1"/>
    <col min="11524" max="11524" width="12.5703125" style="59" customWidth="1"/>
    <col min="11525" max="11525" width="11.5703125" style="59" bestFit="1" customWidth="1"/>
    <col min="11526" max="11526" width="14" style="59" customWidth="1"/>
    <col min="11527" max="11527" width="17.85546875" style="59" customWidth="1"/>
    <col min="11528" max="11528" width="14.42578125" style="59" customWidth="1"/>
    <col min="11529" max="11529" width="14.140625" style="59" bestFit="1" customWidth="1"/>
    <col min="11530" max="11530" width="11.42578125" style="59"/>
    <col min="11531" max="11531" width="11.5703125" style="59" bestFit="1" customWidth="1"/>
    <col min="11532" max="11533" width="11.42578125" style="59"/>
    <col min="11534" max="11534" width="11.85546875" style="59" bestFit="1" customWidth="1"/>
    <col min="11535" max="11535" width="11.42578125" style="59"/>
    <col min="11536" max="11536" width="11.85546875" style="59" bestFit="1" customWidth="1"/>
    <col min="11537" max="11776" width="11.42578125" style="59"/>
    <col min="11777" max="11777" width="13.140625" style="59" customWidth="1"/>
    <col min="11778" max="11778" width="27.5703125" style="59" customWidth="1"/>
    <col min="11779" max="11779" width="15.28515625" style="59" bestFit="1" customWidth="1"/>
    <col min="11780" max="11780" width="12.5703125" style="59" customWidth="1"/>
    <col min="11781" max="11781" width="11.5703125" style="59" bestFit="1" customWidth="1"/>
    <col min="11782" max="11782" width="14" style="59" customWidth="1"/>
    <col min="11783" max="11783" width="17.85546875" style="59" customWidth="1"/>
    <col min="11784" max="11784" width="14.42578125" style="59" customWidth="1"/>
    <col min="11785" max="11785" width="14.140625" style="59" bestFit="1" customWidth="1"/>
    <col min="11786" max="11786" width="11.42578125" style="59"/>
    <col min="11787" max="11787" width="11.5703125" style="59" bestFit="1" customWidth="1"/>
    <col min="11788" max="11789" width="11.42578125" style="59"/>
    <col min="11790" max="11790" width="11.85546875" style="59" bestFit="1" customWidth="1"/>
    <col min="11791" max="11791" width="11.42578125" style="59"/>
    <col min="11792" max="11792" width="11.85546875" style="59" bestFit="1" customWidth="1"/>
    <col min="11793" max="12032" width="11.42578125" style="59"/>
    <col min="12033" max="12033" width="13.140625" style="59" customWidth="1"/>
    <col min="12034" max="12034" width="27.5703125" style="59" customWidth="1"/>
    <col min="12035" max="12035" width="15.28515625" style="59" bestFit="1" customWidth="1"/>
    <col min="12036" max="12036" width="12.5703125" style="59" customWidth="1"/>
    <col min="12037" max="12037" width="11.5703125" style="59" bestFit="1" customWidth="1"/>
    <col min="12038" max="12038" width="14" style="59" customWidth="1"/>
    <col min="12039" max="12039" width="17.85546875" style="59" customWidth="1"/>
    <col min="12040" max="12040" width="14.42578125" style="59" customWidth="1"/>
    <col min="12041" max="12041" width="14.140625" style="59" bestFit="1" customWidth="1"/>
    <col min="12042" max="12042" width="11.42578125" style="59"/>
    <col min="12043" max="12043" width="11.5703125" style="59" bestFit="1" customWidth="1"/>
    <col min="12044" max="12045" width="11.42578125" style="59"/>
    <col min="12046" max="12046" width="11.85546875" style="59" bestFit="1" customWidth="1"/>
    <col min="12047" max="12047" width="11.42578125" style="59"/>
    <col min="12048" max="12048" width="11.85546875" style="59" bestFit="1" customWidth="1"/>
    <col min="12049" max="12288" width="11.42578125" style="59"/>
    <col min="12289" max="12289" width="13.140625" style="59" customWidth="1"/>
    <col min="12290" max="12290" width="27.5703125" style="59" customWidth="1"/>
    <col min="12291" max="12291" width="15.28515625" style="59" bestFit="1" customWidth="1"/>
    <col min="12292" max="12292" width="12.5703125" style="59" customWidth="1"/>
    <col min="12293" max="12293" width="11.5703125" style="59" bestFit="1" customWidth="1"/>
    <col min="12294" max="12294" width="14" style="59" customWidth="1"/>
    <col min="12295" max="12295" width="17.85546875" style="59" customWidth="1"/>
    <col min="12296" max="12296" width="14.42578125" style="59" customWidth="1"/>
    <col min="12297" max="12297" width="14.140625" style="59" bestFit="1" customWidth="1"/>
    <col min="12298" max="12298" width="11.42578125" style="59"/>
    <col min="12299" max="12299" width="11.5703125" style="59" bestFit="1" customWidth="1"/>
    <col min="12300" max="12301" width="11.42578125" style="59"/>
    <col min="12302" max="12302" width="11.85546875" style="59" bestFit="1" customWidth="1"/>
    <col min="12303" max="12303" width="11.42578125" style="59"/>
    <col min="12304" max="12304" width="11.85546875" style="59" bestFit="1" customWidth="1"/>
    <col min="12305" max="12544" width="11.42578125" style="59"/>
    <col min="12545" max="12545" width="13.140625" style="59" customWidth="1"/>
    <col min="12546" max="12546" width="27.5703125" style="59" customWidth="1"/>
    <col min="12547" max="12547" width="15.28515625" style="59" bestFit="1" customWidth="1"/>
    <col min="12548" max="12548" width="12.5703125" style="59" customWidth="1"/>
    <col min="12549" max="12549" width="11.5703125" style="59" bestFit="1" customWidth="1"/>
    <col min="12550" max="12550" width="14" style="59" customWidth="1"/>
    <col min="12551" max="12551" width="17.85546875" style="59" customWidth="1"/>
    <col min="12552" max="12552" width="14.42578125" style="59" customWidth="1"/>
    <col min="12553" max="12553" width="14.140625" style="59" bestFit="1" customWidth="1"/>
    <col min="12554" max="12554" width="11.42578125" style="59"/>
    <col min="12555" max="12555" width="11.5703125" style="59" bestFit="1" customWidth="1"/>
    <col min="12556" max="12557" width="11.42578125" style="59"/>
    <col min="12558" max="12558" width="11.85546875" style="59" bestFit="1" customWidth="1"/>
    <col min="12559" max="12559" width="11.42578125" style="59"/>
    <col min="12560" max="12560" width="11.85546875" style="59" bestFit="1" customWidth="1"/>
    <col min="12561" max="12800" width="11.42578125" style="59"/>
    <col min="12801" max="12801" width="13.140625" style="59" customWidth="1"/>
    <col min="12802" max="12802" width="27.5703125" style="59" customWidth="1"/>
    <col min="12803" max="12803" width="15.28515625" style="59" bestFit="1" customWidth="1"/>
    <col min="12804" max="12804" width="12.5703125" style="59" customWidth="1"/>
    <col min="12805" max="12805" width="11.5703125" style="59" bestFit="1" customWidth="1"/>
    <col min="12806" max="12806" width="14" style="59" customWidth="1"/>
    <col min="12807" max="12807" width="17.85546875" style="59" customWidth="1"/>
    <col min="12808" max="12808" width="14.42578125" style="59" customWidth="1"/>
    <col min="12809" max="12809" width="14.140625" style="59" bestFit="1" customWidth="1"/>
    <col min="12810" max="12810" width="11.42578125" style="59"/>
    <col min="12811" max="12811" width="11.5703125" style="59" bestFit="1" customWidth="1"/>
    <col min="12812" max="12813" width="11.42578125" style="59"/>
    <col min="12814" max="12814" width="11.85546875" style="59" bestFit="1" customWidth="1"/>
    <col min="12815" max="12815" width="11.42578125" style="59"/>
    <col min="12816" max="12816" width="11.85546875" style="59" bestFit="1" customWidth="1"/>
    <col min="12817" max="13056" width="11.42578125" style="59"/>
    <col min="13057" max="13057" width="13.140625" style="59" customWidth="1"/>
    <col min="13058" max="13058" width="27.5703125" style="59" customWidth="1"/>
    <col min="13059" max="13059" width="15.28515625" style="59" bestFit="1" customWidth="1"/>
    <col min="13060" max="13060" width="12.5703125" style="59" customWidth="1"/>
    <col min="13061" max="13061" width="11.5703125" style="59" bestFit="1" customWidth="1"/>
    <col min="13062" max="13062" width="14" style="59" customWidth="1"/>
    <col min="13063" max="13063" width="17.85546875" style="59" customWidth="1"/>
    <col min="13064" max="13064" width="14.42578125" style="59" customWidth="1"/>
    <col min="13065" max="13065" width="14.140625" style="59" bestFit="1" customWidth="1"/>
    <col min="13066" max="13066" width="11.42578125" style="59"/>
    <col min="13067" max="13067" width="11.5703125" style="59" bestFit="1" customWidth="1"/>
    <col min="13068" max="13069" width="11.42578125" style="59"/>
    <col min="13070" max="13070" width="11.85546875" style="59" bestFit="1" customWidth="1"/>
    <col min="13071" max="13071" width="11.42578125" style="59"/>
    <col min="13072" max="13072" width="11.85546875" style="59" bestFit="1" customWidth="1"/>
    <col min="13073" max="13312" width="11.42578125" style="59"/>
    <col min="13313" max="13313" width="13.140625" style="59" customWidth="1"/>
    <col min="13314" max="13314" width="27.5703125" style="59" customWidth="1"/>
    <col min="13315" max="13315" width="15.28515625" style="59" bestFit="1" customWidth="1"/>
    <col min="13316" max="13316" width="12.5703125" style="59" customWidth="1"/>
    <col min="13317" max="13317" width="11.5703125" style="59" bestFit="1" customWidth="1"/>
    <col min="13318" max="13318" width="14" style="59" customWidth="1"/>
    <col min="13319" max="13319" width="17.85546875" style="59" customWidth="1"/>
    <col min="13320" max="13320" width="14.42578125" style="59" customWidth="1"/>
    <col min="13321" max="13321" width="14.140625" style="59" bestFit="1" customWidth="1"/>
    <col min="13322" max="13322" width="11.42578125" style="59"/>
    <col min="13323" max="13323" width="11.5703125" style="59" bestFit="1" customWidth="1"/>
    <col min="13324" max="13325" width="11.42578125" style="59"/>
    <col min="13326" max="13326" width="11.85546875" style="59" bestFit="1" customWidth="1"/>
    <col min="13327" max="13327" width="11.42578125" style="59"/>
    <col min="13328" max="13328" width="11.85546875" style="59" bestFit="1" customWidth="1"/>
    <col min="13329" max="13568" width="11.42578125" style="59"/>
    <col min="13569" max="13569" width="13.140625" style="59" customWidth="1"/>
    <col min="13570" max="13570" width="27.5703125" style="59" customWidth="1"/>
    <col min="13571" max="13571" width="15.28515625" style="59" bestFit="1" customWidth="1"/>
    <col min="13572" max="13572" width="12.5703125" style="59" customWidth="1"/>
    <col min="13573" max="13573" width="11.5703125" style="59" bestFit="1" customWidth="1"/>
    <col min="13574" max="13574" width="14" style="59" customWidth="1"/>
    <col min="13575" max="13575" width="17.85546875" style="59" customWidth="1"/>
    <col min="13576" max="13576" width="14.42578125" style="59" customWidth="1"/>
    <col min="13577" max="13577" width="14.140625" style="59" bestFit="1" customWidth="1"/>
    <col min="13578" max="13578" width="11.42578125" style="59"/>
    <col min="13579" max="13579" width="11.5703125" style="59" bestFit="1" customWidth="1"/>
    <col min="13580" max="13581" width="11.42578125" style="59"/>
    <col min="13582" max="13582" width="11.85546875" style="59" bestFit="1" customWidth="1"/>
    <col min="13583" max="13583" width="11.42578125" style="59"/>
    <col min="13584" max="13584" width="11.85546875" style="59" bestFit="1" customWidth="1"/>
    <col min="13585" max="13824" width="11.42578125" style="59"/>
    <col min="13825" max="13825" width="13.140625" style="59" customWidth="1"/>
    <col min="13826" max="13826" width="27.5703125" style="59" customWidth="1"/>
    <col min="13827" max="13827" width="15.28515625" style="59" bestFit="1" customWidth="1"/>
    <col min="13828" max="13828" width="12.5703125" style="59" customWidth="1"/>
    <col min="13829" max="13829" width="11.5703125" style="59" bestFit="1" customWidth="1"/>
    <col min="13830" max="13830" width="14" style="59" customWidth="1"/>
    <col min="13831" max="13831" width="17.85546875" style="59" customWidth="1"/>
    <col min="13832" max="13832" width="14.42578125" style="59" customWidth="1"/>
    <col min="13833" max="13833" width="14.140625" style="59" bestFit="1" customWidth="1"/>
    <col min="13834" max="13834" width="11.42578125" style="59"/>
    <col min="13835" max="13835" width="11.5703125" style="59" bestFit="1" customWidth="1"/>
    <col min="13836" max="13837" width="11.42578125" style="59"/>
    <col min="13838" max="13838" width="11.85546875" style="59" bestFit="1" customWidth="1"/>
    <col min="13839" max="13839" width="11.42578125" style="59"/>
    <col min="13840" max="13840" width="11.85546875" style="59" bestFit="1" customWidth="1"/>
    <col min="13841" max="14080" width="11.42578125" style="59"/>
    <col min="14081" max="14081" width="13.140625" style="59" customWidth="1"/>
    <col min="14082" max="14082" width="27.5703125" style="59" customWidth="1"/>
    <col min="14083" max="14083" width="15.28515625" style="59" bestFit="1" customWidth="1"/>
    <col min="14084" max="14084" width="12.5703125" style="59" customWidth="1"/>
    <col min="14085" max="14085" width="11.5703125" style="59" bestFit="1" customWidth="1"/>
    <col min="14086" max="14086" width="14" style="59" customWidth="1"/>
    <col min="14087" max="14087" width="17.85546875" style="59" customWidth="1"/>
    <col min="14088" max="14088" width="14.42578125" style="59" customWidth="1"/>
    <col min="14089" max="14089" width="14.140625" style="59" bestFit="1" customWidth="1"/>
    <col min="14090" max="14090" width="11.42578125" style="59"/>
    <col min="14091" max="14091" width="11.5703125" style="59" bestFit="1" customWidth="1"/>
    <col min="14092" max="14093" width="11.42578125" style="59"/>
    <col min="14094" max="14094" width="11.85546875" style="59" bestFit="1" customWidth="1"/>
    <col min="14095" max="14095" width="11.42578125" style="59"/>
    <col min="14096" max="14096" width="11.85546875" style="59" bestFit="1" customWidth="1"/>
    <col min="14097" max="14336" width="11.42578125" style="59"/>
    <col min="14337" max="14337" width="13.140625" style="59" customWidth="1"/>
    <col min="14338" max="14338" width="27.5703125" style="59" customWidth="1"/>
    <col min="14339" max="14339" width="15.28515625" style="59" bestFit="1" customWidth="1"/>
    <col min="14340" max="14340" width="12.5703125" style="59" customWidth="1"/>
    <col min="14341" max="14341" width="11.5703125" style="59" bestFit="1" customWidth="1"/>
    <col min="14342" max="14342" width="14" style="59" customWidth="1"/>
    <col min="14343" max="14343" width="17.85546875" style="59" customWidth="1"/>
    <col min="14344" max="14344" width="14.42578125" style="59" customWidth="1"/>
    <col min="14345" max="14345" width="14.140625" style="59" bestFit="1" customWidth="1"/>
    <col min="14346" max="14346" width="11.42578125" style="59"/>
    <col min="14347" max="14347" width="11.5703125" style="59" bestFit="1" customWidth="1"/>
    <col min="14348" max="14349" width="11.42578125" style="59"/>
    <col min="14350" max="14350" width="11.85546875" style="59" bestFit="1" customWidth="1"/>
    <col min="14351" max="14351" width="11.42578125" style="59"/>
    <col min="14352" max="14352" width="11.85546875" style="59" bestFit="1" customWidth="1"/>
    <col min="14353" max="14592" width="11.42578125" style="59"/>
    <col min="14593" max="14593" width="13.140625" style="59" customWidth="1"/>
    <col min="14594" max="14594" width="27.5703125" style="59" customWidth="1"/>
    <col min="14595" max="14595" width="15.28515625" style="59" bestFit="1" customWidth="1"/>
    <col min="14596" max="14596" width="12.5703125" style="59" customWidth="1"/>
    <col min="14597" max="14597" width="11.5703125" style="59" bestFit="1" customWidth="1"/>
    <col min="14598" max="14598" width="14" style="59" customWidth="1"/>
    <col min="14599" max="14599" width="17.85546875" style="59" customWidth="1"/>
    <col min="14600" max="14600" width="14.42578125" style="59" customWidth="1"/>
    <col min="14601" max="14601" width="14.140625" style="59" bestFit="1" customWidth="1"/>
    <col min="14602" max="14602" width="11.42578125" style="59"/>
    <col min="14603" max="14603" width="11.5703125" style="59" bestFit="1" customWidth="1"/>
    <col min="14604" max="14605" width="11.42578125" style="59"/>
    <col min="14606" max="14606" width="11.85546875" style="59" bestFit="1" customWidth="1"/>
    <col min="14607" max="14607" width="11.42578125" style="59"/>
    <col min="14608" max="14608" width="11.85546875" style="59" bestFit="1" customWidth="1"/>
    <col min="14609" max="14848" width="11.42578125" style="59"/>
    <col min="14849" max="14849" width="13.140625" style="59" customWidth="1"/>
    <col min="14850" max="14850" width="27.5703125" style="59" customWidth="1"/>
    <col min="14851" max="14851" width="15.28515625" style="59" bestFit="1" customWidth="1"/>
    <col min="14852" max="14852" width="12.5703125" style="59" customWidth="1"/>
    <col min="14853" max="14853" width="11.5703125" style="59" bestFit="1" customWidth="1"/>
    <col min="14854" max="14854" width="14" style="59" customWidth="1"/>
    <col min="14855" max="14855" width="17.85546875" style="59" customWidth="1"/>
    <col min="14856" max="14856" width="14.42578125" style="59" customWidth="1"/>
    <col min="14857" max="14857" width="14.140625" style="59" bestFit="1" customWidth="1"/>
    <col min="14858" max="14858" width="11.42578125" style="59"/>
    <col min="14859" max="14859" width="11.5703125" style="59" bestFit="1" customWidth="1"/>
    <col min="14860" max="14861" width="11.42578125" style="59"/>
    <col min="14862" max="14862" width="11.85546875" style="59" bestFit="1" customWidth="1"/>
    <col min="14863" max="14863" width="11.42578125" style="59"/>
    <col min="14864" max="14864" width="11.85546875" style="59" bestFit="1" customWidth="1"/>
    <col min="14865" max="15104" width="11.42578125" style="59"/>
    <col min="15105" max="15105" width="13.140625" style="59" customWidth="1"/>
    <col min="15106" max="15106" width="27.5703125" style="59" customWidth="1"/>
    <col min="15107" max="15107" width="15.28515625" style="59" bestFit="1" customWidth="1"/>
    <col min="15108" max="15108" width="12.5703125" style="59" customWidth="1"/>
    <col min="15109" max="15109" width="11.5703125" style="59" bestFit="1" customWidth="1"/>
    <col min="15110" max="15110" width="14" style="59" customWidth="1"/>
    <col min="15111" max="15111" width="17.85546875" style="59" customWidth="1"/>
    <col min="15112" max="15112" width="14.42578125" style="59" customWidth="1"/>
    <col min="15113" max="15113" width="14.140625" style="59" bestFit="1" customWidth="1"/>
    <col min="15114" max="15114" width="11.42578125" style="59"/>
    <col min="15115" max="15115" width="11.5703125" style="59" bestFit="1" customWidth="1"/>
    <col min="15116" max="15117" width="11.42578125" style="59"/>
    <col min="15118" max="15118" width="11.85546875" style="59" bestFit="1" customWidth="1"/>
    <col min="15119" max="15119" width="11.42578125" style="59"/>
    <col min="15120" max="15120" width="11.85546875" style="59" bestFit="1" customWidth="1"/>
    <col min="15121" max="15360" width="11.42578125" style="59"/>
    <col min="15361" max="15361" width="13.140625" style="59" customWidth="1"/>
    <col min="15362" max="15362" width="27.5703125" style="59" customWidth="1"/>
    <col min="15363" max="15363" width="15.28515625" style="59" bestFit="1" customWidth="1"/>
    <col min="15364" max="15364" width="12.5703125" style="59" customWidth="1"/>
    <col min="15365" max="15365" width="11.5703125" style="59" bestFit="1" customWidth="1"/>
    <col min="15366" max="15366" width="14" style="59" customWidth="1"/>
    <col min="15367" max="15367" width="17.85546875" style="59" customWidth="1"/>
    <col min="15368" max="15368" width="14.42578125" style="59" customWidth="1"/>
    <col min="15369" max="15369" width="14.140625" style="59" bestFit="1" customWidth="1"/>
    <col min="15370" max="15370" width="11.42578125" style="59"/>
    <col min="15371" max="15371" width="11.5703125" style="59" bestFit="1" customWidth="1"/>
    <col min="15372" max="15373" width="11.42578125" style="59"/>
    <col min="15374" max="15374" width="11.85546875" style="59" bestFit="1" customWidth="1"/>
    <col min="15375" max="15375" width="11.42578125" style="59"/>
    <col min="15376" max="15376" width="11.85546875" style="59" bestFit="1" customWidth="1"/>
    <col min="15377" max="15616" width="11.42578125" style="59"/>
    <col min="15617" max="15617" width="13.140625" style="59" customWidth="1"/>
    <col min="15618" max="15618" width="27.5703125" style="59" customWidth="1"/>
    <col min="15619" max="15619" width="15.28515625" style="59" bestFit="1" customWidth="1"/>
    <col min="15620" max="15620" width="12.5703125" style="59" customWidth="1"/>
    <col min="15621" max="15621" width="11.5703125" style="59" bestFit="1" customWidth="1"/>
    <col min="15622" max="15622" width="14" style="59" customWidth="1"/>
    <col min="15623" max="15623" width="17.85546875" style="59" customWidth="1"/>
    <col min="15624" max="15624" width="14.42578125" style="59" customWidth="1"/>
    <col min="15625" max="15625" width="14.140625" style="59" bestFit="1" customWidth="1"/>
    <col min="15626" max="15626" width="11.42578125" style="59"/>
    <col min="15627" max="15627" width="11.5703125" style="59" bestFit="1" customWidth="1"/>
    <col min="15628" max="15629" width="11.42578125" style="59"/>
    <col min="15630" max="15630" width="11.85546875" style="59" bestFit="1" customWidth="1"/>
    <col min="15631" max="15631" width="11.42578125" style="59"/>
    <col min="15632" max="15632" width="11.85546875" style="59" bestFit="1" customWidth="1"/>
    <col min="15633" max="15872" width="11.42578125" style="59"/>
    <col min="15873" max="15873" width="13.140625" style="59" customWidth="1"/>
    <col min="15874" max="15874" width="27.5703125" style="59" customWidth="1"/>
    <col min="15875" max="15875" width="15.28515625" style="59" bestFit="1" customWidth="1"/>
    <col min="15876" max="15876" width="12.5703125" style="59" customWidth="1"/>
    <col min="15877" max="15877" width="11.5703125" style="59" bestFit="1" customWidth="1"/>
    <col min="15878" max="15878" width="14" style="59" customWidth="1"/>
    <col min="15879" max="15879" width="17.85546875" style="59" customWidth="1"/>
    <col min="15880" max="15880" width="14.42578125" style="59" customWidth="1"/>
    <col min="15881" max="15881" width="14.140625" style="59" bestFit="1" customWidth="1"/>
    <col min="15882" max="15882" width="11.42578125" style="59"/>
    <col min="15883" max="15883" width="11.5703125" style="59" bestFit="1" customWidth="1"/>
    <col min="15884" max="15885" width="11.42578125" style="59"/>
    <col min="15886" max="15886" width="11.85546875" style="59" bestFit="1" customWidth="1"/>
    <col min="15887" max="15887" width="11.42578125" style="59"/>
    <col min="15888" max="15888" width="11.85546875" style="59" bestFit="1" customWidth="1"/>
    <col min="15889" max="16128" width="11.42578125" style="59"/>
    <col min="16129" max="16129" width="13.140625" style="59" customWidth="1"/>
    <col min="16130" max="16130" width="27.5703125" style="59" customWidth="1"/>
    <col min="16131" max="16131" width="15.28515625" style="59" bestFit="1" customWidth="1"/>
    <col min="16132" max="16132" width="12.5703125" style="59" customWidth="1"/>
    <col min="16133" max="16133" width="11.5703125" style="59" bestFit="1" customWidth="1"/>
    <col min="16134" max="16134" width="14" style="59" customWidth="1"/>
    <col min="16135" max="16135" width="17.85546875" style="59" customWidth="1"/>
    <col min="16136" max="16136" width="14.42578125" style="59" customWidth="1"/>
    <col min="16137" max="16137" width="14.140625" style="59" bestFit="1" customWidth="1"/>
    <col min="16138" max="16138" width="11.42578125" style="59"/>
    <col min="16139" max="16139" width="11.5703125" style="59" bestFit="1" customWidth="1"/>
    <col min="16140" max="16141" width="11.42578125" style="59"/>
    <col min="16142" max="16142" width="11.85546875" style="59" bestFit="1" customWidth="1"/>
    <col min="16143" max="16143" width="11.42578125" style="59"/>
    <col min="16144" max="16144" width="11.85546875" style="59" bestFit="1" customWidth="1"/>
    <col min="16145" max="16384" width="11.42578125" style="59"/>
  </cols>
  <sheetData>
    <row r="1" spans="1:16" ht="18" x14ac:dyDescent="0.25">
      <c r="A1" s="57" t="s">
        <v>272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15.75" x14ac:dyDescent="0.25">
      <c r="A3" s="60" t="s">
        <v>241</v>
      </c>
      <c r="B3" s="61"/>
      <c r="C3" s="61"/>
      <c r="D3" s="61"/>
      <c r="E3" s="62"/>
      <c r="F3" s="61"/>
      <c r="G3" s="61"/>
      <c r="H3" s="58"/>
      <c r="I3" s="58"/>
      <c r="J3" s="58"/>
      <c r="K3" s="58"/>
      <c r="L3" s="58"/>
      <c r="M3" s="58"/>
    </row>
    <row r="4" spans="1:16" ht="15.75" x14ac:dyDescent="0.25">
      <c r="A4" s="63" t="s">
        <v>242</v>
      </c>
      <c r="B4" s="61"/>
      <c r="C4" s="61"/>
      <c r="D4" s="61"/>
      <c r="E4" s="62"/>
      <c r="F4" s="61"/>
      <c r="G4" s="61"/>
      <c r="H4" s="58"/>
      <c r="I4" s="58"/>
      <c r="J4" s="58"/>
      <c r="K4" s="58"/>
      <c r="L4" s="58"/>
      <c r="M4" s="58"/>
    </row>
    <row r="5" spans="1:16" x14ac:dyDescent="0.2">
      <c r="A5" s="64"/>
      <c r="B5" s="65" t="s">
        <v>243</v>
      </c>
      <c r="C5" s="66" t="s">
        <v>244</v>
      </c>
      <c r="D5" s="65" t="s">
        <v>244</v>
      </c>
      <c r="E5" s="67" t="s">
        <v>245</v>
      </c>
      <c r="F5" s="68"/>
      <c r="G5" s="58"/>
      <c r="H5" s="58"/>
      <c r="I5" s="58"/>
      <c r="J5" s="58"/>
      <c r="K5" s="58"/>
      <c r="L5" s="58"/>
    </row>
    <row r="6" spans="1:16" x14ac:dyDescent="0.2">
      <c r="A6" s="69"/>
      <c r="B6" s="70" t="s">
        <v>246</v>
      </c>
      <c r="C6" s="70" t="s">
        <v>247</v>
      </c>
      <c r="D6" s="70" t="s">
        <v>248</v>
      </c>
      <c r="E6" s="71" t="s">
        <v>248</v>
      </c>
      <c r="F6" s="58"/>
      <c r="G6" s="58"/>
      <c r="H6" s="58"/>
      <c r="I6" s="58"/>
      <c r="J6" s="58"/>
      <c r="K6" s="58"/>
      <c r="L6" s="58"/>
    </row>
    <row r="7" spans="1:16" x14ac:dyDescent="0.2">
      <c r="A7" s="72" t="s">
        <v>249</v>
      </c>
      <c r="B7" s="73">
        <v>0.52837000000000001</v>
      </c>
      <c r="C7" s="73">
        <v>0.1042</v>
      </c>
      <c r="D7" s="74"/>
      <c r="E7" s="75">
        <f>B7*C7</f>
        <v>5.5056154000000003E-2</v>
      </c>
      <c r="F7" s="58"/>
      <c r="G7" s="58"/>
      <c r="H7" s="58"/>
      <c r="I7" s="58"/>
      <c r="J7" s="58"/>
      <c r="K7" s="58"/>
      <c r="L7" s="58"/>
    </row>
    <row r="8" spans="1:16" ht="15.75" x14ac:dyDescent="0.25">
      <c r="A8" s="72" t="s">
        <v>250</v>
      </c>
      <c r="B8" s="73">
        <v>1.8939999999999999E-2</v>
      </c>
      <c r="C8" s="76"/>
      <c r="D8" s="77">
        <v>3.2489999999999998E-2</v>
      </c>
      <c r="E8" s="75">
        <f>B8*D8</f>
        <v>6.153605999999999E-4</v>
      </c>
      <c r="F8" s="78"/>
      <c r="G8" s="62"/>
      <c r="H8" s="62"/>
      <c r="I8" s="62"/>
      <c r="J8" s="62"/>
      <c r="K8" s="62"/>
      <c r="L8" s="62"/>
      <c r="M8" s="79"/>
      <c r="N8" s="80"/>
      <c r="O8" s="80"/>
    </row>
    <row r="9" spans="1:16" x14ac:dyDescent="0.2">
      <c r="A9" s="72" t="s">
        <v>251</v>
      </c>
      <c r="B9" s="73">
        <v>0.45268999999999998</v>
      </c>
      <c r="C9" s="81"/>
      <c r="D9" s="82">
        <v>4.53E-2</v>
      </c>
      <c r="E9" s="75">
        <f>B9*D9</f>
        <v>2.0506857E-2</v>
      </c>
      <c r="F9" s="78"/>
      <c r="G9" s="62"/>
      <c r="H9" s="62"/>
      <c r="I9" s="62"/>
      <c r="J9" s="62"/>
      <c r="K9" s="62"/>
      <c r="L9" s="62"/>
      <c r="M9" s="80"/>
      <c r="N9" s="80"/>
      <c r="O9" s="80"/>
    </row>
    <row r="10" spans="1:16" x14ac:dyDescent="0.2">
      <c r="A10" s="83" t="s">
        <v>252</v>
      </c>
      <c r="B10" s="84">
        <f>SUM(B8:B9)</f>
        <v>0.47162999999999999</v>
      </c>
      <c r="C10" s="85"/>
      <c r="D10" s="86"/>
      <c r="E10" s="87"/>
      <c r="F10" s="58"/>
      <c r="G10" s="62"/>
      <c r="H10" s="62"/>
      <c r="I10" s="62"/>
      <c r="J10" s="62"/>
      <c r="K10" s="62"/>
      <c r="L10" s="62"/>
      <c r="M10" s="80"/>
      <c r="N10" s="80"/>
      <c r="O10" s="80"/>
    </row>
    <row r="11" spans="1:16" ht="16.5" thickBot="1" x14ac:dyDescent="0.3">
      <c r="A11" s="88" t="s">
        <v>253</v>
      </c>
      <c r="B11" s="89">
        <f>ROUNDUP(B7+B8+B9,1)</f>
        <v>1</v>
      </c>
      <c r="C11" s="90"/>
      <c r="D11" s="90"/>
      <c r="E11" s="91">
        <f>SUM(E7:E9)</f>
        <v>7.6178371600000003E-2</v>
      </c>
      <c r="F11" s="92" t="s">
        <v>254</v>
      </c>
      <c r="G11" s="93"/>
      <c r="H11" s="93"/>
      <c r="I11" s="62"/>
      <c r="J11" s="62"/>
      <c r="K11" s="62"/>
      <c r="L11" s="62"/>
      <c r="M11" s="80"/>
      <c r="N11" s="80"/>
      <c r="O11" s="80"/>
    </row>
    <row r="12" spans="1:16" ht="16.5" thickTop="1" x14ac:dyDescent="0.25">
      <c r="A12" s="62"/>
      <c r="B12" s="60"/>
      <c r="C12" s="62"/>
      <c r="D12" s="76"/>
      <c r="E12" s="58"/>
      <c r="F12" s="79"/>
      <c r="G12" s="58"/>
      <c r="H12" s="62"/>
      <c r="I12" s="62"/>
      <c r="J12" s="94"/>
      <c r="K12" s="94"/>
      <c r="L12" s="94"/>
      <c r="M12" s="94"/>
      <c r="N12" s="95"/>
      <c r="O12" s="80"/>
      <c r="P12" s="80"/>
    </row>
    <row r="13" spans="1:16" ht="15.75" x14ac:dyDescent="0.25">
      <c r="A13" s="62" t="s">
        <v>255</v>
      </c>
      <c r="B13" s="60"/>
      <c r="C13" s="62"/>
      <c r="D13" s="76"/>
      <c r="E13" s="58"/>
      <c r="F13" s="79"/>
      <c r="G13" s="58"/>
      <c r="H13" s="62"/>
      <c r="I13" s="62"/>
      <c r="J13" s="344"/>
      <c r="K13" s="94"/>
      <c r="L13" s="94"/>
      <c r="M13" s="94"/>
      <c r="N13" s="95"/>
      <c r="O13" s="80"/>
      <c r="P13" s="80"/>
    </row>
    <row r="14" spans="1:16" ht="15.75" x14ac:dyDescent="0.25">
      <c r="A14" s="62"/>
      <c r="B14" s="60"/>
      <c r="C14" s="62"/>
      <c r="D14" s="76"/>
      <c r="E14" s="58"/>
      <c r="F14" s="79"/>
      <c r="G14" s="58"/>
      <c r="H14" s="62"/>
      <c r="I14" s="62"/>
      <c r="J14" s="94"/>
      <c r="K14" s="94"/>
      <c r="L14" s="94"/>
      <c r="M14" s="94"/>
      <c r="N14" s="95"/>
      <c r="O14" s="80"/>
      <c r="P14" s="80"/>
    </row>
    <row r="15" spans="1:16" ht="15.75" x14ac:dyDescent="0.25">
      <c r="A15" s="60" t="s">
        <v>256</v>
      </c>
      <c r="B15" s="96"/>
      <c r="C15" s="60"/>
      <c r="D15" s="62"/>
      <c r="E15" s="62"/>
      <c r="F15" s="62"/>
      <c r="G15" s="62"/>
      <c r="H15" s="62"/>
      <c r="I15" s="62"/>
      <c r="J15" s="94"/>
      <c r="K15" s="94"/>
      <c r="L15" s="94"/>
      <c r="M15" s="94"/>
      <c r="N15" s="95"/>
      <c r="O15" s="80"/>
      <c r="P15" s="80"/>
    </row>
    <row r="16" spans="1:16" ht="15.75" x14ac:dyDescent="0.25">
      <c r="A16" s="62"/>
      <c r="B16" s="62"/>
      <c r="C16" s="60"/>
      <c r="D16" s="62"/>
      <c r="E16" s="62"/>
      <c r="F16" s="62"/>
      <c r="G16" s="62"/>
      <c r="H16" s="62"/>
      <c r="I16" s="62"/>
      <c r="J16" s="94"/>
      <c r="K16" s="94"/>
      <c r="L16" s="94"/>
      <c r="M16" s="94"/>
      <c r="N16" s="95"/>
      <c r="O16" s="80"/>
      <c r="P16" s="80"/>
    </row>
    <row r="17" spans="1:16" ht="15.75" x14ac:dyDescent="0.25">
      <c r="A17" s="62" t="s">
        <v>257</v>
      </c>
      <c r="B17" s="62"/>
      <c r="C17" s="58"/>
      <c r="D17" s="60"/>
      <c r="E17" s="58"/>
      <c r="F17" s="122">
        <v>0.21</v>
      </c>
      <c r="G17" s="63" t="s">
        <v>273</v>
      </c>
      <c r="H17" s="97"/>
      <c r="I17" s="78"/>
      <c r="J17" s="94"/>
      <c r="K17" s="94"/>
      <c r="L17" s="94"/>
      <c r="M17" s="94"/>
      <c r="N17" s="95"/>
      <c r="O17" s="80"/>
      <c r="P17" s="80"/>
    </row>
    <row r="18" spans="1:16" ht="15.75" x14ac:dyDescent="0.25">
      <c r="A18" s="62"/>
      <c r="B18" s="62"/>
      <c r="C18" s="58"/>
      <c r="D18" s="60"/>
      <c r="E18" s="58"/>
      <c r="F18" s="123">
        <v>0.05</v>
      </c>
      <c r="G18" s="63" t="s">
        <v>274</v>
      </c>
      <c r="H18" s="97"/>
      <c r="I18" s="78"/>
      <c r="J18" s="94"/>
      <c r="K18" s="94"/>
      <c r="L18" s="94"/>
      <c r="M18" s="94"/>
      <c r="N18" s="95"/>
      <c r="O18" s="80"/>
      <c r="P18" s="80"/>
    </row>
    <row r="19" spans="1:16" ht="15.75" x14ac:dyDescent="0.25">
      <c r="A19" s="62"/>
      <c r="B19" s="62"/>
      <c r="C19" s="58"/>
      <c r="D19" s="60"/>
      <c r="E19" s="58"/>
      <c r="F19" s="124">
        <v>-1.0500000000000001E-2</v>
      </c>
      <c r="G19" s="63" t="s">
        <v>275</v>
      </c>
      <c r="H19" s="97"/>
      <c r="I19" s="78"/>
      <c r="J19" s="94"/>
      <c r="K19" s="94"/>
      <c r="L19" s="94"/>
      <c r="M19" s="94"/>
      <c r="N19" s="95"/>
      <c r="O19" s="80"/>
      <c r="P19" s="80"/>
    </row>
    <row r="20" spans="1:16" ht="15.75" x14ac:dyDescent="0.25">
      <c r="A20" s="62"/>
      <c r="B20" s="62"/>
      <c r="C20" s="58"/>
      <c r="D20" s="60"/>
      <c r="E20" s="58"/>
      <c r="F20" s="125">
        <f>SUM(F17:F19)</f>
        <v>0.2495</v>
      </c>
      <c r="G20" s="63" t="s">
        <v>276</v>
      </c>
      <c r="H20" s="97"/>
      <c r="I20" s="78"/>
      <c r="J20" s="94"/>
      <c r="K20" s="94"/>
      <c r="L20" s="94"/>
      <c r="M20" s="94"/>
      <c r="N20" s="95"/>
      <c r="O20" s="80"/>
      <c r="P20" s="80"/>
    </row>
    <row r="21" spans="1:16" ht="15.75" x14ac:dyDescent="0.25">
      <c r="A21" s="62"/>
      <c r="B21" s="62"/>
      <c r="C21" s="58"/>
      <c r="D21" s="60"/>
      <c r="E21" s="58"/>
      <c r="F21" s="58"/>
      <c r="G21" s="126"/>
      <c r="H21" s="97"/>
      <c r="I21" s="78"/>
      <c r="J21" s="94"/>
      <c r="K21" s="94"/>
      <c r="L21" s="94"/>
      <c r="M21" s="94"/>
      <c r="N21" s="95"/>
      <c r="O21" s="80"/>
      <c r="P21" s="80"/>
    </row>
    <row r="22" spans="1:16" x14ac:dyDescent="0.2">
      <c r="A22" s="62" t="s">
        <v>258</v>
      </c>
      <c r="B22" s="62"/>
      <c r="C22" s="58" t="s">
        <v>259</v>
      </c>
      <c r="D22" s="98"/>
      <c r="E22" s="98"/>
      <c r="F22" s="98"/>
      <c r="G22" s="58"/>
      <c r="H22" s="62"/>
      <c r="I22" s="58"/>
      <c r="J22" s="94"/>
      <c r="K22" s="94"/>
      <c r="L22" s="94"/>
      <c r="M22" s="94"/>
      <c r="N22" s="95"/>
      <c r="O22" s="80"/>
      <c r="P22" s="80"/>
    </row>
    <row r="23" spans="1:16" ht="15.75" x14ac:dyDescent="0.25">
      <c r="A23" s="62"/>
      <c r="B23" s="62"/>
      <c r="C23" s="99" t="s">
        <v>260</v>
      </c>
      <c r="D23" s="121">
        <f>E7</f>
        <v>5.5056154000000003E-2</v>
      </c>
      <c r="E23" s="100" t="s">
        <v>261</v>
      </c>
      <c r="F23" s="101">
        <f>F20</f>
        <v>0.2495</v>
      </c>
      <c r="G23" s="102" t="s">
        <v>262</v>
      </c>
      <c r="H23" s="101">
        <f>F20</f>
        <v>0.2495</v>
      </c>
      <c r="I23" s="103" t="str">
        <f>"="</f>
        <v>=</v>
      </c>
      <c r="J23" s="104">
        <f>(E7/(1-F20))*F20</f>
        <v>1.8303145133910726E-2</v>
      </c>
      <c r="K23" s="94"/>
      <c r="L23" s="94"/>
      <c r="M23" s="94"/>
      <c r="N23" s="95"/>
      <c r="O23" s="80"/>
      <c r="P23" s="80"/>
    </row>
    <row r="24" spans="1:16" x14ac:dyDescent="0.2">
      <c r="A24" s="62"/>
      <c r="B24" s="62"/>
      <c r="C24" s="62"/>
      <c r="D24" s="62"/>
      <c r="E24" s="62"/>
      <c r="F24" s="62"/>
      <c r="G24" s="62"/>
      <c r="H24" s="62"/>
      <c r="I24" s="62"/>
      <c r="J24" s="94"/>
      <c r="K24" s="94"/>
      <c r="L24" s="94"/>
      <c r="M24" s="94"/>
      <c r="N24" s="95"/>
      <c r="O24" s="80"/>
      <c r="P24" s="80"/>
    </row>
    <row r="25" spans="1:16" x14ac:dyDescent="0.2">
      <c r="A25" s="62"/>
      <c r="B25" s="62"/>
      <c r="C25" s="62"/>
      <c r="D25" s="62"/>
      <c r="E25" s="62"/>
      <c r="F25" s="62"/>
      <c r="G25" s="58"/>
      <c r="H25" s="62"/>
      <c r="I25" s="62"/>
      <c r="J25" s="94"/>
      <c r="K25" s="94"/>
      <c r="L25" s="94"/>
      <c r="M25" s="94"/>
      <c r="N25" s="95"/>
      <c r="O25" s="80"/>
      <c r="P25" s="80"/>
    </row>
    <row r="26" spans="1:16" ht="15.75" x14ac:dyDescent="0.25">
      <c r="A26" s="60" t="s">
        <v>498</v>
      </c>
      <c r="B26" s="105"/>
      <c r="C26" s="105"/>
      <c r="D26" s="106"/>
      <c r="E26" s="107"/>
      <c r="F26" s="108"/>
      <c r="G26" s="58"/>
      <c r="H26" s="62"/>
      <c r="I26" s="62"/>
      <c r="J26" s="94"/>
      <c r="K26" s="94"/>
      <c r="L26" s="94"/>
      <c r="M26" s="94"/>
      <c r="N26" s="95"/>
      <c r="O26" s="80"/>
      <c r="P26" s="80"/>
    </row>
    <row r="27" spans="1:16" ht="15.75" x14ac:dyDescent="0.25">
      <c r="A27" s="109"/>
      <c r="B27" s="106"/>
      <c r="C27" s="106"/>
      <c r="D27" s="106"/>
      <c r="E27" s="107"/>
      <c r="F27" s="108"/>
      <c r="G27" s="58"/>
      <c r="H27" s="62"/>
      <c r="I27" s="62"/>
      <c r="J27" s="94"/>
      <c r="K27" s="94"/>
      <c r="L27" s="94"/>
      <c r="M27" s="94"/>
      <c r="N27" s="95"/>
      <c r="O27" s="80"/>
      <c r="P27" s="80"/>
    </row>
    <row r="28" spans="1:16" x14ac:dyDescent="0.2">
      <c r="A28" s="58"/>
      <c r="B28" s="107" t="s">
        <v>263</v>
      </c>
      <c r="C28" s="107"/>
      <c r="D28" s="107"/>
      <c r="E28" s="107"/>
      <c r="F28" s="110">
        <f>E11</f>
        <v>7.6178371600000003E-2</v>
      </c>
      <c r="G28" s="58"/>
      <c r="H28" s="62"/>
      <c r="I28" s="62"/>
      <c r="J28" s="94"/>
      <c r="K28" s="111"/>
      <c r="L28" s="94"/>
      <c r="M28" s="94"/>
      <c r="N28" s="95"/>
      <c r="O28" s="80"/>
      <c r="P28" s="80"/>
    </row>
    <row r="29" spans="1:16" x14ac:dyDescent="0.2">
      <c r="A29" s="58"/>
      <c r="B29" s="107" t="s">
        <v>264</v>
      </c>
      <c r="C29" s="107"/>
      <c r="D29" s="107"/>
      <c r="E29" s="107"/>
      <c r="F29" s="110"/>
      <c r="G29" s="58"/>
      <c r="H29" s="62"/>
      <c r="I29" s="62"/>
      <c r="J29" s="94"/>
      <c r="K29" s="94"/>
      <c r="L29" s="94"/>
      <c r="M29" s="94"/>
      <c r="N29" s="95"/>
      <c r="O29" s="80"/>
      <c r="P29" s="80"/>
    </row>
    <row r="30" spans="1:16" x14ac:dyDescent="0.2">
      <c r="A30" s="58"/>
      <c r="B30" s="112">
        <v>25</v>
      </c>
      <c r="C30" s="107" t="s">
        <v>265</v>
      </c>
      <c r="D30" s="107"/>
      <c r="E30" s="107"/>
      <c r="F30" s="110">
        <f>1/B30</f>
        <v>0.04</v>
      </c>
      <c r="G30" s="58"/>
      <c r="H30" s="62"/>
      <c r="I30" s="62"/>
      <c r="J30" s="94"/>
      <c r="K30" s="58"/>
      <c r="L30" s="94"/>
      <c r="M30" s="94"/>
      <c r="N30" s="95"/>
      <c r="O30" s="80"/>
      <c r="P30" s="80"/>
    </row>
    <row r="31" spans="1:16" x14ac:dyDescent="0.2">
      <c r="A31" s="58"/>
      <c r="B31" s="107" t="s">
        <v>266</v>
      </c>
      <c r="C31" s="107"/>
      <c r="D31" s="107"/>
      <c r="E31" s="107"/>
      <c r="F31" s="110">
        <f>J23</f>
        <v>1.8303145133910726E-2</v>
      </c>
      <c r="G31" s="58"/>
      <c r="H31" s="62"/>
      <c r="I31" s="62"/>
      <c r="J31" s="94"/>
      <c r="K31" s="94"/>
      <c r="L31" s="94"/>
      <c r="M31" s="94"/>
      <c r="N31" s="95"/>
      <c r="O31" s="80"/>
      <c r="P31" s="80"/>
    </row>
    <row r="32" spans="1:16" x14ac:dyDescent="0.2">
      <c r="A32" s="58"/>
      <c r="B32" s="107" t="s">
        <v>267</v>
      </c>
      <c r="C32" s="107"/>
      <c r="D32" s="107"/>
      <c r="E32" s="107"/>
      <c r="F32" s="127">
        <v>1.7180000000000001E-2</v>
      </c>
      <c r="G32" s="78"/>
      <c r="H32" s="62"/>
      <c r="I32" s="62"/>
      <c r="J32" s="94"/>
      <c r="K32" s="94"/>
      <c r="L32" s="94"/>
      <c r="M32" s="94"/>
      <c r="N32" s="95"/>
      <c r="O32" s="80"/>
      <c r="P32" s="80"/>
    </row>
    <row r="33" spans="1:16" ht="15.75" x14ac:dyDescent="0.25">
      <c r="A33" s="58"/>
      <c r="B33" s="113" t="s">
        <v>268</v>
      </c>
      <c r="C33" s="113"/>
      <c r="D33" s="113"/>
      <c r="E33" s="107"/>
      <c r="F33" s="114">
        <f>SUM(F28:F32)</f>
        <v>0.15166151673391073</v>
      </c>
      <c r="G33" s="58"/>
      <c r="H33" s="62"/>
      <c r="I33" s="62"/>
      <c r="J33" s="94"/>
      <c r="K33" s="94"/>
      <c r="L33" s="94"/>
      <c r="M33" s="94"/>
      <c r="N33" s="95"/>
      <c r="O33" s="80"/>
      <c r="P33" s="80"/>
    </row>
    <row r="34" spans="1:16" ht="15.75" x14ac:dyDescent="0.25">
      <c r="A34" s="62"/>
      <c r="B34" s="60"/>
      <c r="C34" s="62"/>
      <c r="D34" s="76"/>
      <c r="E34" s="58"/>
      <c r="F34" s="128"/>
      <c r="G34" s="58"/>
      <c r="H34" s="62"/>
      <c r="I34" s="62"/>
      <c r="J34" s="94"/>
      <c r="K34" s="94"/>
      <c r="L34" s="94"/>
      <c r="M34" s="94"/>
      <c r="N34" s="95"/>
      <c r="O34" s="80"/>
      <c r="P34" s="80"/>
    </row>
    <row r="35" spans="1:16" ht="15.75" x14ac:dyDescent="0.25">
      <c r="A35" s="115" t="s">
        <v>563</v>
      </c>
      <c r="B35" s="106"/>
      <c r="C35" s="106"/>
      <c r="D35" s="106"/>
      <c r="E35" s="107"/>
      <c r="F35" s="106"/>
      <c r="G35" s="108"/>
      <c r="H35" s="62"/>
      <c r="I35" s="62"/>
      <c r="J35" s="94"/>
      <c r="K35" s="94"/>
      <c r="L35" s="94"/>
      <c r="M35" s="94"/>
      <c r="N35" s="95"/>
      <c r="O35" s="80"/>
      <c r="P35" s="80"/>
    </row>
    <row r="36" spans="1:16" ht="15.75" x14ac:dyDescent="0.25">
      <c r="A36" s="116"/>
      <c r="B36" s="106"/>
      <c r="C36" s="106"/>
      <c r="D36" s="106"/>
      <c r="E36" s="107"/>
      <c r="F36" s="106"/>
      <c r="G36" s="108"/>
      <c r="H36" s="62"/>
      <c r="I36" s="62"/>
      <c r="J36" s="58"/>
      <c r="K36" s="98"/>
      <c r="L36" s="98"/>
      <c r="M36" s="98"/>
      <c r="O36" s="80"/>
      <c r="P36" s="80"/>
    </row>
    <row r="37" spans="1:16" x14ac:dyDescent="0.2">
      <c r="A37" s="107"/>
      <c r="B37" s="107" t="s">
        <v>263</v>
      </c>
      <c r="C37" s="107"/>
      <c r="D37" s="107"/>
      <c r="E37" s="107"/>
      <c r="F37" s="110">
        <f>E11</f>
        <v>7.6178371600000003E-2</v>
      </c>
      <c r="G37" s="106"/>
      <c r="H37" s="106"/>
      <c r="I37" s="107"/>
      <c r="J37" s="117"/>
      <c r="K37" s="117"/>
      <c r="L37" s="117"/>
      <c r="M37" s="107"/>
      <c r="N37" s="80"/>
      <c r="O37" s="80"/>
    </row>
    <row r="38" spans="1:16" ht="15.75" x14ac:dyDescent="0.25">
      <c r="A38" s="107"/>
      <c r="B38" s="107" t="s">
        <v>264</v>
      </c>
      <c r="C38" s="107"/>
      <c r="D38" s="107"/>
      <c r="E38" s="107"/>
      <c r="F38" s="110"/>
      <c r="G38" s="58"/>
      <c r="H38" s="58"/>
      <c r="I38" s="58"/>
      <c r="J38" s="58"/>
      <c r="K38" s="58"/>
      <c r="L38" s="58"/>
      <c r="M38" s="58"/>
      <c r="O38" s="118"/>
    </row>
    <row r="39" spans="1:16" ht="15.75" x14ac:dyDescent="0.25">
      <c r="A39" s="107"/>
      <c r="B39" s="112">
        <v>28</v>
      </c>
      <c r="C39" s="107" t="s">
        <v>265</v>
      </c>
      <c r="D39" s="107"/>
      <c r="E39" s="107"/>
      <c r="F39" s="110">
        <f>1/B39</f>
        <v>3.5714285714285712E-2</v>
      </c>
      <c r="G39" s="58"/>
      <c r="H39" s="58"/>
      <c r="I39" s="58"/>
      <c r="J39" s="58"/>
      <c r="K39" s="58"/>
      <c r="L39" s="58"/>
      <c r="M39" s="58"/>
      <c r="O39" s="116"/>
    </row>
    <row r="40" spans="1:16" x14ac:dyDescent="0.2">
      <c r="A40" s="107"/>
      <c r="B40" s="107" t="s">
        <v>266</v>
      </c>
      <c r="C40" s="107"/>
      <c r="D40" s="107"/>
      <c r="E40" s="107"/>
      <c r="F40" s="110">
        <f>J23</f>
        <v>1.8303145133910726E-2</v>
      </c>
      <c r="G40" s="58"/>
      <c r="H40" s="58"/>
      <c r="I40" s="58"/>
      <c r="J40" s="58"/>
      <c r="K40" s="58"/>
      <c r="L40" s="58"/>
      <c r="M40" s="58"/>
      <c r="O40" s="107"/>
    </row>
    <row r="41" spans="1:16" x14ac:dyDescent="0.2">
      <c r="A41" s="107"/>
      <c r="B41" s="107" t="s">
        <v>267</v>
      </c>
      <c r="C41" s="107"/>
      <c r="D41" s="107"/>
      <c r="E41" s="107"/>
      <c r="F41" s="127">
        <v>1.7180000000000001E-2</v>
      </c>
      <c r="G41" s="78"/>
      <c r="H41" s="58"/>
      <c r="I41" s="58"/>
      <c r="J41" s="58"/>
      <c r="K41" s="58"/>
      <c r="L41" s="58"/>
      <c r="M41" s="58"/>
      <c r="O41" s="107"/>
    </row>
    <row r="42" spans="1:16" ht="15.75" x14ac:dyDescent="0.25">
      <c r="A42" s="107"/>
      <c r="B42" s="113" t="s">
        <v>268</v>
      </c>
      <c r="C42" s="113"/>
      <c r="D42" s="113"/>
      <c r="E42" s="107"/>
      <c r="F42" s="114">
        <f>SUM(F37:F41)</f>
        <v>0.14737580244819645</v>
      </c>
      <c r="G42" s="58"/>
      <c r="H42" s="58"/>
      <c r="I42" s="58"/>
      <c r="J42" s="58"/>
      <c r="K42" s="58"/>
      <c r="L42" s="58"/>
      <c r="M42" s="58"/>
      <c r="O42" s="107"/>
    </row>
    <row r="43" spans="1:16" ht="15.75" x14ac:dyDescent="0.25">
      <c r="A43" s="107"/>
      <c r="B43" s="113"/>
      <c r="C43" s="113"/>
      <c r="D43" s="113"/>
      <c r="E43" s="107"/>
      <c r="F43" s="114"/>
      <c r="G43" s="58"/>
      <c r="H43" s="58"/>
      <c r="I43" s="58"/>
      <c r="J43" s="58"/>
      <c r="K43" s="58"/>
      <c r="L43" s="58"/>
      <c r="M43" s="58"/>
      <c r="O43" s="107"/>
    </row>
    <row r="44" spans="1:16" ht="15.75" x14ac:dyDescent="0.25">
      <c r="A44" s="115" t="s">
        <v>561</v>
      </c>
      <c r="B44" s="106"/>
      <c r="C44" s="106"/>
      <c r="D44" s="106"/>
      <c r="E44" s="107"/>
      <c r="F44" s="106"/>
      <c r="G44" s="58"/>
      <c r="H44" s="58"/>
      <c r="I44" s="58"/>
      <c r="J44" s="58"/>
      <c r="K44" s="58"/>
      <c r="L44" s="58"/>
      <c r="M44" s="58"/>
      <c r="O44" s="107"/>
    </row>
    <row r="45" spans="1:16" ht="15.75" x14ac:dyDescent="0.25">
      <c r="A45" s="116"/>
      <c r="B45" s="106"/>
      <c r="C45" s="106"/>
      <c r="D45" s="106"/>
      <c r="E45" s="107"/>
      <c r="F45" s="106"/>
      <c r="G45" s="58"/>
      <c r="H45" s="58"/>
      <c r="I45" s="58"/>
      <c r="J45" s="58"/>
      <c r="K45" s="58"/>
      <c r="L45" s="58"/>
      <c r="M45" s="58"/>
      <c r="O45" s="107"/>
    </row>
    <row r="46" spans="1:16" x14ac:dyDescent="0.2">
      <c r="A46" s="107"/>
      <c r="B46" s="107" t="s">
        <v>263</v>
      </c>
      <c r="C46" s="107"/>
      <c r="D46" s="107"/>
      <c r="E46" s="107"/>
      <c r="F46" s="110">
        <f>E11</f>
        <v>7.6178371600000003E-2</v>
      </c>
      <c r="G46" s="58"/>
      <c r="H46" s="58"/>
      <c r="I46" s="58"/>
      <c r="J46" s="58"/>
      <c r="K46" s="58"/>
      <c r="L46" s="58"/>
      <c r="M46" s="58"/>
      <c r="O46" s="107"/>
    </row>
    <row r="47" spans="1:16" x14ac:dyDescent="0.2">
      <c r="A47" s="107"/>
      <c r="B47" s="107" t="s">
        <v>264</v>
      </c>
      <c r="C47" s="107"/>
      <c r="D47" s="107"/>
      <c r="E47" s="107"/>
      <c r="F47" s="110"/>
      <c r="G47" s="58"/>
      <c r="H47" s="58"/>
      <c r="I47" s="58"/>
      <c r="J47" s="58"/>
      <c r="K47" s="58"/>
      <c r="L47" s="58"/>
      <c r="M47" s="58"/>
      <c r="O47" s="107"/>
    </row>
    <row r="48" spans="1:16" x14ac:dyDescent="0.2">
      <c r="A48" s="107"/>
      <c r="B48" s="112">
        <f>28*0.582455</f>
        <v>16.30874</v>
      </c>
      <c r="C48" s="107" t="s">
        <v>265</v>
      </c>
      <c r="D48" s="107"/>
      <c r="E48" s="107"/>
      <c r="F48" s="110">
        <f>1/B48</f>
        <v>6.1316815400821886E-2</v>
      </c>
      <c r="G48" s="58"/>
      <c r="H48" s="58"/>
      <c r="I48" s="58"/>
      <c r="J48" s="58"/>
      <c r="K48" s="58"/>
      <c r="L48" s="58"/>
      <c r="M48" s="58"/>
      <c r="O48" s="107"/>
    </row>
    <row r="49" spans="1:15" x14ac:dyDescent="0.2">
      <c r="A49" s="107"/>
      <c r="B49" s="107" t="s">
        <v>266</v>
      </c>
      <c r="C49" s="107"/>
      <c r="D49" s="107"/>
      <c r="E49" s="107"/>
      <c r="F49" s="110">
        <f>F40</f>
        <v>1.8303145133910726E-2</v>
      </c>
      <c r="G49" s="58"/>
      <c r="H49" s="58"/>
      <c r="I49" s="58"/>
      <c r="J49" s="58"/>
      <c r="K49" s="58"/>
      <c r="L49" s="58"/>
      <c r="M49" s="58"/>
      <c r="O49" s="107"/>
    </row>
    <row r="50" spans="1:15" x14ac:dyDescent="0.2">
      <c r="A50" s="107"/>
      <c r="B50" s="107" t="s">
        <v>267</v>
      </c>
      <c r="C50" s="107"/>
      <c r="D50" s="107"/>
      <c r="E50" s="107"/>
      <c r="F50" s="127">
        <v>1.511E-2</v>
      </c>
      <c r="G50" s="58"/>
      <c r="H50" s="58"/>
      <c r="I50" s="58"/>
      <c r="J50" s="58"/>
      <c r="K50" s="58"/>
      <c r="L50" s="58"/>
      <c r="M50" s="58"/>
      <c r="O50" s="107"/>
    </row>
    <row r="51" spans="1:15" ht="15.75" x14ac:dyDescent="0.25">
      <c r="A51" s="107"/>
      <c r="B51" s="113" t="s">
        <v>268</v>
      </c>
      <c r="C51" s="113"/>
      <c r="D51" s="113"/>
      <c r="E51" s="107"/>
      <c r="F51" s="114">
        <f>SUM(F46:F50)</f>
        <v>0.17090833213473264</v>
      </c>
      <c r="G51" s="58"/>
      <c r="H51" s="58"/>
      <c r="I51" s="58"/>
      <c r="J51" s="58"/>
      <c r="K51" s="58"/>
      <c r="L51" s="58"/>
      <c r="M51" s="58"/>
      <c r="O51" s="107"/>
    </row>
    <row r="52" spans="1:15" ht="15.75" x14ac:dyDescent="0.25">
      <c r="A52" s="107"/>
      <c r="B52" s="113"/>
      <c r="C52" s="113"/>
      <c r="D52" s="113"/>
      <c r="E52" s="107"/>
      <c r="F52" s="114"/>
      <c r="G52" s="58"/>
      <c r="H52" s="58"/>
      <c r="I52" s="58"/>
      <c r="J52" s="58"/>
      <c r="K52" s="58"/>
      <c r="L52" s="58"/>
      <c r="M52" s="58"/>
      <c r="O52" s="107"/>
    </row>
    <row r="53" spans="1:15" ht="15.75" x14ac:dyDescent="0.25">
      <c r="A53" s="115" t="s">
        <v>562</v>
      </c>
      <c r="B53" s="106"/>
      <c r="C53" s="106"/>
      <c r="D53" s="106"/>
      <c r="E53" s="107"/>
      <c r="F53" s="106"/>
      <c r="G53" s="58"/>
      <c r="H53" s="58"/>
      <c r="I53" s="58"/>
      <c r="J53" s="58"/>
      <c r="K53" s="58"/>
      <c r="L53" s="58"/>
      <c r="M53" s="58"/>
      <c r="O53" s="107"/>
    </row>
    <row r="54" spans="1:15" ht="15.75" x14ac:dyDescent="0.25">
      <c r="A54" s="116"/>
      <c r="B54" s="106"/>
      <c r="C54" s="106"/>
      <c r="D54" s="106"/>
      <c r="E54" s="107"/>
      <c r="F54" s="106"/>
      <c r="G54" s="58"/>
      <c r="H54" s="58"/>
      <c r="I54" s="58"/>
      <c r="J54" s="58"/>
      <c r="K54" s="58"/>
      <c r="L54" s="58"/>
      <c r="M54" s="58"/>
      <c r="O54" s="107"/>
    </row>
    <row r="55" spans="1:15" ht="15.75" x14ac:dyDescent="0.25">
      <c r="A55" s="107"/>
      <c r="B55" s="113" t="s">
        <v>268</v>
      </c>
      <c r="C55" s="113"/>
      <c r="D55" s="113"/>
      <c r="E55" s="107"/>
      <c r="F55" s="114">
        <f>((F51*'Maintenance &amp; NBV'!D48)+('Fixed Carrying Cost'!F42*'Maintenance &amp; NBV'!H54))/('Maintenance &amp; NBV'!D48+'Maintenance &amp; NBV'!H54)</f>
        <v>0.17065633221640586</v>
      </c>
      <c r="G55" s="58"/>
      <c r="H55" s="58"/>
      <c r="I55" s="58"/>
      <c r="J55" s="58"/>
      <c r="K55" s="58"/>
      <c r="L55" s="58"/>
      <c r="M55" s="58"/>
      <c r="O55" s="107"/>
    </row>
    <row r="56" spans="1:15" ht="15.75" x14ac:dyDescent="0.25">
      <c r="A56" s="107"/>
      <c r="B56" s="113"/>
      <c r="C56" s="113"/>
      <c r="D56" s="113"/>
      <c r="E56" s="107"/>
      <c r="F56" s="114"/>
      <c r="G56" s="58"/>
      <c r="H56" s="58"/>
      <c r="I56" s="58"/>
      <c r="J56" s="58"/>
      <c r="K56" s="58"/>
      <c r="L56" s="58"/>
      <c r="M56" s="58"/>
      <c r="O56" s="107"/>
    </row>
    <row r="57" spans="1:15" ht="15.75" x14ac:dyDescent="0.25">
      <c r="A57" s="60" t="s">
        <v>564</v>
      </c>
      <c r="B57" s="106"/>
      <c r="C57" s="106"/>
      <c r="D57" s="106"/>
      <c r="E57" s="107"/>
      <c r="F57" s="106"/>
      <c r="G57" s="108"/>
      <c r="H57" s="58"/>
      <c r="I57" s="58"/>
      <c r="J57" s="58"/>
      <c r="K57" s="58"/>
      <c r="L57" s="58"/>
      <c r="M57" s="58"/>
      <c r="O57" s="107"/>
    </row>
    <row r="58" spans="1:15" ht="15.75" x14ac:dyDescent="0.25">
      <c r="A58" s="116"/>
      <c r="B58" s="106"/>
      <c r="C58" s="106"/>
      <c r="D58" s="106"/>
      <c r="E58" s="107"/>
      <c r="F58" s="106"/>
      <c r="G58" s="108"/>
      <c r="H58" s="58"/>
      <c r="I58" s="58"/>
      <c r="J58" s="58"/>
      <c r="K58" s="58"/>
      <c r="L58" s="58"/>
      <c r="M58" s="58"/>
      <c r="O58" s="107"/>
    </row>
    <row r="59" spans="1:15" x14ac:dyDescent="0.2">
      <c r="A59" s="107"/>
      <c r="B59" s="107" t="s">
        <v>263</v>
      </c>
      <c r="C59" s="107"/>
      <c r="D59" s="107"/>
      <c r="E59" s="107"/>
      <c r="F59" s="110">
        <f>E11</f>
        <v>7.6178371600000003E-2</v>
      </c>
      <c r="G59" s="106"/>
      <c r="H59" s="58"/>
      <c r="I59" s="58"/>
      <c r="J59" s="58"/>
      <c r="K59" s="58"/>
      <c r="L59" s="58"/>
      <c r="M59" s="58"/>
      <c r="O59" s="107"/>
    </row>
    <row r="60" spans="1:15" x14ac:dyDescent="0.2">
      <c r="A60" s="107"/>
      <c r="B60" s="107" t="s">
        <v>264</v>
      </c>
      <c r="C60" s="107"/>
      <c r="D60" s="107"/>
      <c r="E60" s="107"/>
      <c r="F60" s="110"/>
      <c r="G60" s="58"/>
      <c r="H60" s="58"/>
      <c r="I60" s="58"/>
      <c r="J60" s="58"/>
      <c r="K60" s="58"/>
      <c r="L60" s="58"/>
      <c r="M60" s="58"/>
      <c r="O60" s="107"/>
    </row>
    <row r="61" spans="1:15" x14ac:dyDescent="0.2">
      <c r="A61" s="107"/>
      <c r="B61" s="112">
        <v>25</v>
      </c>
      <c r="C61" s="107" t="s">
        <v>265</v>
      </c>
      <c r="D61" s="107"/>
      <c r="E61" s="107"/>
      <c r="F61" s="110">
        <f>1/B61</f>
        <v>0.04</v>
      </c>
      <c r="G61" s="58"/>
      <c r="H61" s="58"/>
      <c r="I61" s="58"/>
      <c r="J61" s="58"/>
      <c r="K61" s="58"/>
      <c r="L61" s="58"/>
      <c r="M61" s="58"/>
      <c r="O61" s="107"/>
    </row>
    <row r="62" spans="1:15" x14ac:dyDescent="0.2">
      <c r="A62" s="107"/>
      <c r="B62" s="107" t="s">
        <v>266</v>
      </c>
      <c r="C62" s="107"/>
      <c r="D62" s="107"/>
      <c r="E62" s="107"/>
      <c r="F62" s="110">
        <f>J23</f>
        <v>1.8303145133910726E-2</v>
      </c>
      <c r="G62" s="58"/>
      <c r="H62" s="58"/>
      <c r="I62" s="58"/>
      <c r="J62" s="58"/>
      <c r="K62" s="58"/>
      <c r="L62" s="58"/>
      <c r="M62" s="58"/>
      <c r="O62" s="107"/>
    </row>
    <row r="63" spans="1:15" x14ac:dyDescent="0.2">
      <c r="A63" s="107"/>
      <c r="B63" s="107" t="s">
        <v>267</v>
      </c>
      <c r="C63" s="107"/>
      <c r="D63" s="107"/>
      <c r="E63" s="107"/>
      <c r="F63" s="127">
        <v>1.7180000000000001E-2</v>
      </c>
      <c r="G63" s="78"/>
      <c r="H63" s="58"/>
      <c r="I63" s="58"/>
      <c r="J63" s="58"/>
      <c r="K63" s="58"/>
      <c r="L63" s="58"/>
      <c r="M63" s="58"/>
      <c r="O63" s="107"/>
    </row>
    <row r="64" spans="1:15" ht="15.75" x14ac:dyDescent="0.25">
      <c r="A64" s="107"/>
      <c r="B64" s="113" t="s">
        <v>268</v>
      </c>
      <c r="C64" s="113"/>
      <c r="D64" s="113"/>
      <c r="E64" s="107"/>
      <c r="F64" s="114">
        <f>SUM(F59:F63)</f>
        <v>0.15166151673391073</v>
      </c>
      <c r="G64" s="58"/>
      <c r="H64" s="58"/>
      <c r="I64" s="58"/>
      <c r="J64" s="58"/>
      <c r="K64" s="58"/>
      <c r="L64" s="58"/>
      <c r="M64" s="58"/>
      <c r="O64" s="107"/>
    </row>
    <row r="65" spans="1:15" ht="15.75" x14ac:dyDescent="0.25">
      <c r="A65" s="107"/>
      <c r="B65" s="113"/>
      <c r="C65" s="113"/>
      <c r="D65" s="113"/>
      <c r="E65" s="107"/>
      <c r="F65" s="114"/>
      <c r="G65" s="58"/>
      <c r="H65" s="58"/>
      <c r="I65" s="58"/>
      <c r="J65" s="58"/>
      <c r="K65" s="58"/>
      <c r="L65" s="58"/>
      <c r="M65" s="58"/>
      <c r="O65" s="107"/>
    </row>
    <row r="66" spans="1:15" ht="15.75" x14ac:dyDescent="0.25">
      <c r="A66" s="60" t="s">
        <v>501</v>
      </c>
      <c r="B66" s="106"/>
      <c r="C66" s="106"/>
      <c r="D66" s="106"/>
      <c r="E66" s="107"/>
      <c r="F66" s="106"/>
      <c r="G66" s="108"/>
      <c r="H66" s="58"/>
      <c r="I66" s="58"/>
      <c r="J66" s="58"/>
      <c r="K66" s="58"/>
      <c r="L66" s="58"/>
      <c r="M66" s="58"/>
      <c r="O66" s="107"/>
    </row>
    <row r="67" spans="1:15" ht="15.75" x14ac:dyDescent="0.25">
      <c r="A67" s="116"/>
      <c r="B67" s="106"/>
      <c r="C67" s="106"/>
      <c r="D67" s="106"/>
      <c r="E67" s="107"/>
      <c r="F67" s="106"/>
      <c r="G67" s="108"/>
      <c r="H67" s="58"/>
      <c r="I67" s="58"/>
      <c r="J67" s="58"/>
      <c r="K67" s="58"/>
      <c r="L67" s="58"/>
      <c r="M67" s="58"/>
      <c r="O67" s="107"/>
    </row>
    <row r="68" spans="1:15" x14ac:dyDescent="0.2">
      <c r="A68" s="107"/>
      <c r="B68" s="107" t="s">
        <v>263</v>
      </c>
      <c r="C68" s="107"/>
      <c r="D68" s="107"/>
      <c r="E68" s="107"/>
      <c r="F68" s="110">
        <f>$E$11</f>
        <v>7.6178371600000003E-2</v>
      </c>
      <c r="G68" s="106"/>
      <c r="H68" s="58"/>
      <c r="I68" s="58"/>
      <c r="J68" s="58"/>
      <c r="K68" s="58"/>
      <c r="L68" s="58"/>
      <c r="M68" s="58"/>
      <c r="O68" s="107"/>
    </row>
    <row r="69" spans="1:15" x14ac:dyDescent="0.2">
      <c r="A69" s="107"/>
      <c r="B69" s="107" t="s">
        <v>264</v>
      </c>
      <c r="C69" s="107"/>
      <c r="D69" s="107"/>
      <c r="E69" s="107"/>
      <c r="F69" s="110"/>
      <c r="G69" s="58"/>
      <c r="H69" s="58"/>
      <c r="I69" s="58"/>
      <c r="J69" s="58"/>
      <c r="K69" s="58"/>
      <c r="L69" s="58"/>
      <c r="M69" s="58"/>
      <c r="O69" s="107"/>
    </row>
    <row r="70" spans="1:15" x14ac:dyDescent="0.2">
      <c r="A70" s="107"/>
      <c r="B70" s="112">
        <v>15</v>
      </c>
      <c r="C70" s="107" t="s">
        <v>265</v>
      </c>
      <c r="D70" s="107"/>
      <c r="E70" s="107"/>
      <c r="F70" s="110">
        <f>1/B70</f>
        <v>6.6666666666666666E-2</v>
      </c>
      <c r="G70" s="58"/>
      <c r="H70" s="58"/>
      <c r="I70" s="58"/>
      <c r="J70" s="58"/>
      <c r="K70" s="58"/>
      <c r="L70" s="58"/>
      <c r="M70" s="58"/>
      <c r="O70" s="107"/>
    </row>
    <row r="71" spans="1:15" x14ac:dyDescent="0.2">
      <c r="A71" s="107"/>
      <c r="B71" s="107" t="s">
        <v>266</v>
      </c>
      <c r="C71" s="107"/>
      <c r="D71" s="107"/>
      <c r="E71" s="107"/>
      <c r="F71" s="110">
        <f>$J$23</f>
        <v>1.8303145133910726E-2</v>
      </c>
      <c r="G71" s="58"/>
      <c r="H71" s="58"/>
      <c r="I71" s="58"/>
      <c r="J71" s="58"/>
      <c r="K71" s="58"/>
      <c r="L71" s="58"/>
      <c r="M71" s="58"/>
      <c r="O71" s="107"/>
    </row>
    <row r="72" spans="1:15" x14ac:dyDescent="0.2">
      <c r="A72" s="107"/>
      <c r="B72" s="107" t="s">
        <v>267</v>
      </c>
      <c r="C72" s="107"/>
      <c r="D72" s="107"/>
      <c r="E72" s="107"/>
      <c r="F72" s="127">
        <v>1.7180000000000001E-2</v>
      </c>
      <c r="G72" s="78"/>
      <c r="H72" s="58"/>
      <c r="I72" s="58"/>
      <c r="J72" s="58"/>
      <c r="K72" s="58"/>
      <c r="L72" s="58"/>
      <c r="M72" s="58"/>
      <c r="O72" s="107"/>
    </row>
    <row r="73" spans="1:15" ht="15.75" x14ac:dyDescent="0.25">
      <c r="A73" s="107"/>
      <c r="B73" s="113" t="s">
        <v>268</v>
      </c>
      <c r="C73" s="113"/>
      <c r="D73" s="113"/>
      <c r="E73" s="107"/>
      <c r="F73" s="114">
        <f>SUM(F68:F72)</f>
        <v>0.17832818340057741</v>
      </c>
      <c r="G73" s="58"/>
      <c r="H73" s="58"/>
      <c r="I73" s="58"/>
      <c r="J73" s="58"/>
      <c r="K73" s="58"/>
      <c r="L73" s="58"/>
      <c r="M73" s="58"/>
      <c r="O73" s="107"/>
    </row>
    <row r="74" spans="1:15" ht="15.75" x14ac:dyDescent="0.25">
      <c r="A74" s="107"/>
      <c r="B74" s="113"/>
      <c r="C74" s="113"/>
      <c r="D74" s="113"/>
      <c r="E74" s="107"/>
      <c r="F74" s="114"/>
      <c r="G74" s="58"/>
      <c r="H74" s="58"/>
      <c r="I74" s="58"/>
      <c r="J74" s="58"/>
      <c r="K74" s="58"/>
      <c r="L74" s="58"/>
      <c r="M74" s="58"/>
      <c r="O74" s="107"/>
    </row>
    <row r="75" spans="1:15" ht="15.75" x14ac:dyDescent="0.25">
      <c r="A75" s="60" t="s">
        <v>552</v>
      </c>
      <c r="B75" s="106"/>
      <c r="C75" s="106"/>
      <c r="D75" s="106"/>
      <c r="E75" s="107"/>
      <c r="F75" s="106"/>
      <c r="G75" s="108"/>
      <c r="H75" s="58"/>
      <c r="I75" s="58"/>
      <c r="J75" s="58"/>
      <c r="K75" s="58"/>
      <c r="L75" s="58"/>
      <c r="M75" s="58"/>
      <c r="O75" s="107"/>
    </row>
    <row r="76" spans="1:15" ht="15.75" x14ac:dyDescent="0.25">
      <c r="A76" s="116"/>
      <c r="B76" s="106"/>
      <c r="C76" s="106"/>
      <c r="D76" s="106"/>
      <c r="E76" s="107"/>
      <c r="F76" s="106"/>
      <c r="G76" s="108"/>
      <c r="H76" s="58"/>
      <c r="I76" s="58"/>
      <c r="J76" s="58"/>
      <c r="K76" s="58"/>
      <c r="L76" s="58"/>
      <c r="M76" s="58"/>
      <c r="O76" s="107"/>
    </row>
    <row r="77" spans="1:15" x14ac:dyDescent="0.2">
      <c r="A77" s="107"/>
      <c r="B77" s="107" t="s">
        <v>263</v>
      </c>
      <c r="C77" s="107"/>
      <c r="D77" s="107"/>
      <c r="E77" s="107"/>
      <c r="F77" s="110">
        <f>$E$11</f>
        <v>7.6178371600000003E-2</v>
      </c>
      <c r="G77" s="106"/>
      <c r="H77" s="58"/>
      <c r="I77" s="58"/>
      <c r="J77" s="58"/>
      <c r="K77" s="58"/>
      <c r="L77" s="58"/>
      <c r="M77" s="58"/>
      <c r="O77" s="107"/>
    </row>
    <row r="78" spans="1:15" x14ac:dyDescent="0.2">
      <c r="A78" s="107"/>
      <c r="B78" s="107" t="s">
        <v>264</v>
      </c>
      <c r="C78" s="107"/>
      <c r="D78" s="107"/>
      <c r="E78" s="107"/>
      <c r="F78" s="110"/>
      <c r="G78" s="58"/>
      <c r="H78" s="58"/>
      <c r="I78" s="58"/>
      <c r="J78" s="58"/>
      <c r="K78" s="58"/>
      <c r="L78" s="58"/>
      <c r="M78" s="58"/>
      <c r="O78" s="107"/>
    </row>
    <row r="79" spans="1:15" x14ac:dyDescent="0.2">
      <c r="A79" s="107"/>
      <c r="B79" s="112">
        <v>5</v>
      </c>
      <c r="C79" s="107" t="s">
        <v>265</v>
      </c>
      <c r="D79" s="107"/>
      <c r="E79" s="107"/>
      <c r="F79" s="110">
        <f>1/B79</f>
        <v>0.2</v>
      </c>
      <c r="G79" s="58"/>
      <c r="H79" s="58"/>
      <c r="I79" s="58"/>
      <c r="J79" s="58"/>
      <c r="K79" s="58"/>
      <c r="L79" s="58"/>
      <c r="M79" s="58"/>
      <c r="O79" s="107"/>
    </row>
    <row r="80" spans="1:15" x14ac:dyDescent="0.2">
      <c r="A80" s="107"/>
      <c r="B80" s="107" t="s">
        <v>266</v>
      </c>
      <c r="C80" s="107"/>
      <c r="D80" s="107"/>
      <c r="E80" s="107"/>
      <c r="F80" s="110">
        <f>$J$23</f>
        <v>1.8303145133910726E-2</v>
      </c>
      <c r="G80" s="58"/>
      <c r="H80" s="58"/>
      <c r="I80" s="58"/>
      <c r="J80" s="58"/>
      <c r="K80" s="58"/>
      <c r="L80" s="58"/>
      <c r="M80" s="58"/>
      <c r="O80" s="107"/>
    </row>
    <row r="81" spans="1:16" x14ac:dyDescent="0.2">
      <c r="A81" s="107"/>
      <c r="B81" s="107" t="s">
        <v>267</v>
      </c>
      <c r="C81" s="107"/>
      <c r="D81" s="107"/>
      <c r="E81" s="107"/>
      <c r="F81" s="127">
        <v>1.7180000000000001E-2</v>
      </c>
      <c r="G81" s="78"/>
      <c r="H81" s="58"/>
      <c r="I81" s="58"/>
      <c r="J81" s="58"/>
      <c r="K81" s="58"/>
      <c r="L81" s="58"/>
      <c r="M81" s="58"/>
      <c r="O81" s="107"/>
    </row>
    <row r="82" spans="1:16" ht="15.75" x14ac:dyDescent="0.25">
      <c r="A82" s="107"/>
      <c r="B82" s="113" t="s">
        <v>268</v>
      </c>
      <c r="C82" s="113"/>
      <c r="D82" s="113"/>
      <c r="E82" s="107"/>
      <c r="F82" s="114">
        <f>SUM(F77:F81)</f>
        <v>0.31166151673391074</v>
      </c>
      <c r="G82" s="58"/>
      <c r="H82" s="58"/>
      <c r="I82" s="58"/>
      <c r="J82" s="58"/>
      <c r="K82" s="58"/>
      <c r="P82" s="107"/>
    </row>
    <row r="83" spans="1:16" ht="15.75" x14ac:dyDescent="0.25">
      <c r="A83" s="115" t="s">
        <v>269</v>
      </c>
      <c r="P83" s="107"/>
    </row>
    <row r="84" spans="1:16" ht="15.75" x14ac:dyDescent="0.25">
      <c r="A84" s="115"/>
      <c r="P84" s="107"/>
    </row>
    <row r="85" spans="1:16" x14ac:dyDescent="0.2">
      <c r="B85" s="59" t="s">
        <v>270</v>
      </c>
      <c r="C85" s="119">
        <v>7.3279999999999998E-2</v>
      </c>
      <c r="D85" s="120" t="s">
        <v>271</v>
      </c>
      <c r="P85" s="107"/>
    </row>
  </sheetData>
  <pageMargins left="1" right="1" top="1" bottom="1.75" header="0.5" footer="0.5"/>
  <pageSetup scale="53" fitToHeight="2" orientation="landscape" r:id="rId1"/>
  <headerFooter scaleWithDoc="0">
    <oddFooter xml:space="preserve">&amp;R&amp;"Times New Roman,Bold"&amp;12 Case No. 2018-00295
Attachment to Response to PSC-2 Question No. 29a-b
Page &amp;P of &amp;N
Seelye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J87"/>
  <sheetViews>
    <sheetView zoomScale="80" zoomScaleNormal="80" workbookViewId="0"/>
  </sheetViews>
  <sheetFormatPr defaultRowHeight="12.75" x14ac:dyDescent="0.2"/>
  <cols>
    <col min="1" max="1" width="9.5703125" style="139" bestFit="1" customWidth="1"/>
    <col min="2" max="2" width="14.28515625" style="139" bestFit="1" customWidth="1"/>
    <col min="3" max="3" width="19.85546875" style="139" bestFit="1" customWidth="1"/>
    <col min="4" max="4" width="13.85546875" style="139" bestFit="1" customWidth="1"/>
    <col min="5" max="5" width="42.85546875" style="139" bestFit="1" customWidth="1"/>
    <col min="6" max="6" width="23.140625" style="139" bestFit="1" customWidth="1"/>
    <col min="7" max="7" width="9.140625" style="139" hidden="1" customWidth="1"/>
    <col min="8" max="253" width="9.140625" style="139"/>
    <col min="254" max="254" width="46.85546875" style="139" bestFit="1" customWidth="1"/>
    <col min="255" max="255" width="32.140625" style="139" bestFit="1" customWidth="1"/>
    <col min="256" max="256" width="19.140625" style="139" customWidth="1"/>
    <col min="257" max="257" width="10.42578125" style="139" customWidth="1"/>
    <col min="258" max="258" width="14.5703125" style="139" bestFit="1" customWidth="1"/>
    <col min="259" max="259" width="14.140625" style="139" bestFit="1" customWidth="1"/>
    <col min="260" max="260" width="23" style="139" bestFit="1" customWidth="1"/>
    <col min="261" max="509" width="9.140625" style="139"/>
    <col min="510" max="510" width="46.85546875" style="139" bestFit="1" customWidth="1"/>
    <col min="511" max="511" width="32.140625" style="139" bestFit="1" customWidth="1"/>
    <col min="512" max="512" width="19.140625" style="139" customWidth="1"/>
    <col min="513" max="513" width="10.42578125" style="139" customWidth="1"/>
    <col min="514" max="514" width="14.5703125" style="139" bestFit="1" customWidth="1"/>
    <col min="515" max="515" width="14.140625" style="139" bestFit="1" customWidth="1"/>
    <col min="516" max="516" width="23" style="139" bestFit="1" customWidth="1"/>
    <col min="517" max="765" width="9.140625" style="139"/>
    <col min="766" max="766" width="46.85546875" style="139" bestFit="1" customWidth="1"/>
    <col min="767" max="767" width="32.140625" style="139" bestFit="1" customWidth="1"/>
    <col min="768" max="768" width="19.140625" style="139" customWidth="1"/>
    <col min="769" max="769" width="10.42578125" style="139" customWidth="1"/>
    <col min="770" max="770" width="14.5703125" style="139" bestFit="1" customWidth="1"/>
    <col min="771" max="771" width="14.140625" style="139" bestFit="1" customWidth="1"/>
    <col min="772" max="772" width="23" style="139" bestFit="1" customWidth="1"/>
    <col min="773" max="1021" width="9.140625" style="139"/>
    <col min="1022" max="1022" width="46.85546875" style="139" bestFit="1" customWidth="1"/>
    <col min="1023" max="1023" width="32.140625" style="139" bestFit="1" customWidth="1"/>
    <col min="1024" max="1024" width="19.140625" style="139" customWidth="1"/>
    <col min="1025" max="1025" width="10.42578125" style="139" customWidth="1"/>
    <col min="1026" max="1026" width="14.5703125" style="139" bestFit="1" customWidth="1"/>
    <col min="1027" max="1027" width="14.140625" style="139" bestFit="1" customWidth="1"/>
    <col min="1028" max="1028" width="23" style="139" bestFit="1" customWidth="1"/>
    <col min="1029" max="1277" width="9.140625" style="139"/>
    <col min="1278" max="1278" width="46.85546875" style="139" bestFit="1" customWidth="1"/>
    <col min="1279" max="1279" width="32.140625" style="139" bestFit="1" customWidth="1"/>
    <col min="1280" max="1280" width="19.140625" style="139" customWidth="1"/>
    <col min="1281" max="1281" width="10.42578125" style="139" customWidth="1"/>
    <col min="1282" max="1282" width="14.5703125" style="139" bestFit="1" customWidth="1"/>
    <col min="1283" max="1283" width="14.140625" style="139" bestFit="1" customWidth="1"/>
    <col min="1284" max="1284" width="23" style="139" bestFit="1" customWidth="1"/>
    <col min="1285" max="1533" width="9.140625" style="139"/>
    <col min="1534" max="1534" width="46.85546875" style="139" bestFit="1" customWidth="1"/>
    <col min="1535" max="1535" width="32.140625" style="139" bestFit="1" customWidth="1"/>
    <col min="1536" max="1536" width="19.140625" style="139" customWidth="1"/>
    <col min="1537" max="1537" width="10.42578125" style="139" customWidth="1"/>
    <col min="1538" max="1538" width="14.5703125" style="139" bestFit="1" customWidth="1"/>
    <col min="1539" max="1539" width="14.140625" style="139" bestFit="1" customWidth="1"/>
    <col min="1540" max="1540" width="23" style="139" bestFit="1" customWidth="1"/>
    <col min="1541" max="1789" width="9.140625" style="139"/>
    <col min="1790" max="1790" width="46.85546875" style="139" bestFit="1" customWidth="1"/>
    <col min="1791" max="1791" width="32.140625" style="139" bestFit="1" customWidth="1"/>
    <col min="1792" max="1792" width="19.140625" style="139" customWidth="1"/>
    <col min="1793" max="1793" width="10.42578125" style="139" customWidth="1"/>
    <col min="1794" max="1794" width="14.5703125" style="139" bestFit="1" customWidth="1"/>
    <col min="1795" max="1795" width="14.140625" style="139" bestFit="1" customWidth="1"/>
    <col min="1796" max="1796" width="23" style="139" bestFit="1" customWidth="1"/>
    <col min="1797" max="2045" width="9.140625" style="139"/>
    <col min="2046" max="2046" width="46.85546875" style="139" bestFit="1" customWidth="1"/>
    <col min="2047" max="2047" width="32.140625" style="139" bestFit="1" customWidth="1"/>
    <col min="2048" max="2048" width="19.140625" style="139" customWidth="1"/>
    <col min="2049" max="2049" width="10.42578125" style="139" customWidth="1"/>
    <col min="2050" max="2050" width="14.5703125" style="139" bestFit="1" customWidth="1"/>
    <col min="2051" max="2051" width="14.140625" style="139" bestFit="1" customWidth="1"/>
    <col min="2052" max="2052" width="23" style="139" bestFit="1" customWidth="1"/>
    <col min="2053" max="2301" width="9.140625" style="139"/>
    <col min="2302" max="2302" width="46.85546875" style="139" bestFit="1" customWidth="1"/>
    <col min="2303" max="2303" width="32.140625" style="139" bestFit="1" customWidth="1"/>
    <col min="2304" max="2304" width="19.140625" style="139" customWidth="1"/>
    <col min="2305" max="2305" width="10.42578125" style="139" customWidth="1"/>
    <col min="2306" max="2306" width="14.5703125" style="139" bestFit="1" customWidth="1"/>
    <col min="2307" max="2307" width="14.140625" style="139" bestFit="1" customWidth="1"/>
    <col min="2308" max="2308" width="23" style="139" bestFit="1" customWidth="1"/>
    <col min="2309" max="2557" width="9.140625" style="139"/>
    <col min="2558" max="2558" width="46.85546875" style="139" bestFit="1" customWidth="1"/>
    <col min="2559" max="2559" width="32.140625" style="139" bestFit="1" customWidth="1"/>
    <col min="2560" max="2560" width="19.140625" style="139" customWidth="1"/>
    <col min="2561" max="2561" width="10.42578125" style="139" customWidth="1"/>
    <col min="2562" max="2562" width="14.5703125" style="139" bestFit="1" customWidth="1"/>
    <col min="2563" max="2563" width="14.140625" style="139" bestFit="1" customWidth="1"/>
    <col min="2564" max="2564" width="23" style="139" bestFit="1" customWidth="1"/>
    <col min="2565" max="2813" width="9.140625" style="139"/>
    <col min="2814" max="2814" width="46.85546875" style="139" bestFit="1" customWidth="1"/>
    <col min="2815" max="2815" width="32.140625" style="139" bestFit="1" customWidth="1"/>
    <col min="2816" max="2816" width="19.140625" style="139" customWidth="1"/>
    <col min="2817" max="2817" width="10.42578125" style="139" customWidth="1"/>
    <col min="2818" max="2818" width="14.5703125" style="139" bestFit="1" customWidth="1"/>
    <col min="2819" max="2819" width="14.140625" style="139" bestFit="1" customWidth="1"/>
    <col min="2820" max="2820" width="23" style="139" bestFit="1" customWidth="1"/>
    <col min="2821" max="3069" width="9.140625" style="139"/>
    <col min="3070" max="3070" width="46.85546875" style="139" bestFit="1" customWidth="1"/>
    <col min="3071" max="3071" width="32.140625" style="139" bestFit="1" customWidth="1"/>
    <col min="3072" max="3072" width="19.140625" style="139" customWidth="1"/>
    <col min="3073" max="3073" width="10.42578125" style="139" customWidth="1"/>
    <col min="3074" max="3074" width="14.5703125" style="139" bestFit="1" customWidth="1"/>
    <col min="3075" max="3075" width="14.140625" style="139" bestFit="1" customWidth="1"/>
    <col min="3076" max="3076" width="23" style="139" bestFit="1" customWidth="1"/>
    <col min="3077" max="3325" width="9.140625" style="139"/>
    <col min="3326" max="3326" width="46.85546875" style="139" bestFit="1" customWidth="1"/>
    <col min="3327" max="3327" width="32.140625" style="139" bestFit="1" customWidth="1"/>
    <col min="3328" max="3328" width="19.140625" style="139" customWidth="1"/>
    <col min="3329" max="3329" width="10.42578125" style="139" customWidth="1"/>
    <col min="3330" max="3330" width="14.5703125" style="139" bestFit="1" customWidth="1"/>
    <col min="3331" max="3331" width="14.140625" style="139" bestFit="1" customWidth="1"/>
    <col min="3332" max="3332" width="23" style="139" bestFit="1" customWidth="1"/>
    <col min="3333" max="3581" width="9.140625" style="139"/>
    <col min="3582" max="3582" width="46.85546875" style="139" bestFit="1" customWidth="1"/>
    <col min="3583" max="3583" width="32.140625" style="139" bestFit="1" customWidth="1"/>
    <col min="3584" max="3584" width="19.140625" style="139" customWidth="1"/>
    <col min="3585" max="3585" width="10.42578125" style="139" customWidth="1"/>
    <col min="3586" max="3586" width="14.5703125" style="139" bestFit="1" customWidth="1"/>
    <col min="3587" max="3587" width="14.140625" style="139" bestFit="1" customWidth="1"/>
    <col min="3588" max="3588" width="23" style="139" bestFit="1" customWidth="1"/>
    <col min="3589" max="3837" width="9.140625" style="139"/>
    <col min="3838" max="3838" width="46.85546875" style="139" bestFit="1" customWidth="1"/>
    <col min="3839" max="3839" width="32.140625" style="139" bestFit="1" customWidth="1"/>
    <col min="3840" max="3840" width="19.140625" style="139" customWidth="1"/>
    <col min="3841" max="3841" width="10.42578125" style="139" customWidth="1"/>
    <col min="3842" max="3842" width="14.5703125" style="139" bestFit="1" customWidth="1"/>
    <col min="3843" max="3843" width="14.140625" style="139" bestFit="1" customWidth="1"/>
    <col min="3844" max="3844" width="23" style="139" bestFit="1" customWidth="1"/>
    <col min="3845" max="4093" width="9.140625" style="139"/>
    <col min="4094" max="4094" width="46.85546875" style="139" bestFit="1" customWidth="1"/>
    <col min="4095" max="4095" width="32.140625" style="139" bestFit="1" customWidth="1"/>
    <col min="4096" max="4096" width="19.140625" style="139" customWidth="1"/>
    <col min="4097" max="4097" width="10.42578125" style="139" customWidth="1"/>
    <col min="4098" max="4098" width="14.5703125" style="139" bestFit="1" customWidth="1"/>
    <col min="4099" max="4099" width="14.140625" style="139" bestFit="1" customWidth="1"/>
    <col min="4100" max="4100" width="23" style="139" bestFit="1" customWidth="1"/>
    <col min="4101" max="4349" width="9.140625" style="139"/>
    <col min="4350" max="4350" width="46.85546875" style="139" bestFit="1" customWidth="1"/>
    <col min="4351" max="4351" width="32.140625" style="139" bestFit="1" customWidth="1"/>
    <col min="4352" max="4352" width="19.140625" style="139" customWidth="1"/>
    <col min="4353" max="4353" width="10.42578125" style="139" customWidth="1"/>
    <col min="4354" max="4354" width="14.5703125" style="139" bestFit="1" customWidth="1"/>
    <col min="4355" max="4355" width="14.140625" style="139" bestFit="1" customWidth="1"/>
    <col min="4356" max="4356" width="23" style="139" bestFit="1" customWidth="1"/>
    <col min="4357" max="4605" width="9.140625" style="139"/>
    <col min="4606" max="4606" width="46.85546875" style="139" bestFit="1" customWidth="1"/>
    <col min="4607" max="4607" width="32.140625" style="139" bestFit="1" customWidth="1"/>
    <col min="4608" max="4608" width="19.140625" style="139" customWidth="1"/>
    <col min="4609" max="4609" width="10.42578125" style="139" customWidth="1"/>
    <col min="4610" max="4610" width="14.5703125" style="139" bestFit="1" customWidth="1"/>
    <col min="4611" max="4611" width="14.140625" style="139" bestFit="1" customWidth="1"/>
    <col min="4612" max="4612" width="23" style="139" bestFit="1" customWidth="1"/>
    <col min="4613" max="4861" width="9.140625" style="139"/>
    <col min="4862" max="4862" width="46.85546875" style="139" bestFit="1" customWidth="1"/>
    <col min="4863" max="4863" width="32.140625" style="139" bestFit="1" customWidth="1"/>
    <col min="4864" max="4864" width="19.140625" style="139" customWidth="1"/>
    <col min="4865" max="4865" width="10.42578125" style="139" customWidth="1"/>
    <col min="4866" max="4866" width="14.5703125" style="139" bestFit="1" customWidth="1"/>
    <col min="4867" max="4867" width="14.140625" style="139" bestFit="1" customWidth="1"/>
    <col min="4868" max="4868" width="23" style="139" bestFit="1" customWidth="1"/>
    <col min="4869" max="5117" width="9.140625" style="139"/>
    <col min="5118" max="5118" width="46.85546875" style="139" bestFit="1" customWidth="1"/>
    <col min="5119" max="5119" width="32.140625" style="139" bestFit="1" customWidth="1"/>
    <col min="5120" max="5120" width="19.140625" style="139" customWidth="1"/>
    <col min="5121" max="5121" width="10.42578125" style="139" customWidth="1"/>
    <col min="5122" max="5122" width="14.5703125" style="139" bestFit="1" customWidth="1"/>
    <col min="5123" max="5123" width="14.140625" style="139" bestFit="1" customWidth="1"/>
    <col min="5124" max="5124" width="23" style="139" bestFit="1" customWidth="1"/>
    <col min="5125" max="5373" width="9.140625" style="139"/>
    <col min="5374" max="5374" width="46.85546875" style="139" bestFit="1" customWidth="1"/>
    <col min="5375" max="5375" width="32.140625" style="139" bestFit="1" customWidth="1"/>
    <col min="5376" max="5376" width="19.140625" style="139" customWidth="1"/>
    <col min="5377" max="5377" width="10.42578125" style="139" customWidth="1"/>
    <col min="5378" max="5378" width="14.5703125" style="139" bestFit="1" customWidth="1"/>
    <col min="5379" max="5379" width="14.140625" style="139" bestFit="1" customWidth="1"/>
    <col min="5380" max="5380" width="23" style="139" bestFit="1" customWidth="1"/>
    <col min="5381" max="5629" width="9.140625" style="139"/>
    <col min="5630" max="5630" width="46.85546875" style="139" bestFit="1" customWidth="1"/>
    <col min="5631" max="5631" width="32.140625" style="139" bestFit="1" customWidth="1"/>
    <col min="5632" max="5632" width="19.140625" style="139" customWidth="1"/>
    <col min="5633" max="5633" width="10.42578125" style="139" customWidth="1"/>
    <col min="5634" max="5634" width="14.5703125" style="139" bestFit="1" customWidth="1"/>
    <col min="5635" max="5635" width="14.140625" style="139" bestFit="1" customWidth="1"/>
    <col min="5636" max="5636" width="23" style="139" bestFit="1" customWidth="1"/>
    <col min="5637" max="5885" width="9.140625" style="139"/>
    <col min="5886" max="5886" width="46.85546875" style="139" bestFit="1" customWidth="1"/>
    <col min="5887" max="5887" width="32.140625" style="139" bestFit="1" customWidth="1"/>
    <col min="5888" max="5888" width="19.140625" style="139" customWidth="1"/>
    <col min="5889" max="5889" width="10.42578125" style="139" customWidth="1"/>
    <col min="5890" max="5890" width="14.5703125" style="139" bestFit="1" customWidth="1"/>
    <col min="5891" max="5891" width="14.140625" style="139" bestFit="1" customWidth="1"/>
    <col min="5892" max="5892" width="23" style="139" bestFit="1" customWidth="1"/>
    <col min="5893" max="6141" width="9.140625" style="139"/>
    <col min="6142" max="6142" width="46.85546875" style="139" bestFit="1" customWidth="1"/>
    <col min="6143" max="6143" width="32.140625" style="139" bestFit="1" customWidth="1"/>
    <col min="6144" max="6144" width="19.140625" style="139" customWidth="1"/>
    <col min="6145" max="6145" width="10.42578125" style="139" customWidth="1"/>
    <col min="6146" max="6146" width="14.5703125" style="139" bestFit="1" customWidth="1"/>
    <col min="6147" max="6147" width="14.140625" style="139" bestFit="1" customWidth="1"/>
    <col min="6148" max="6148" width="23" style="139" bestFit="1" customWidth="1"/>
    <col min="6149" max="6397" width="9.140625" style="139"/>
    <col min="6398" max="6398" width="46.85546875" style="139" bestFit="1" customWidth="1"/>
    <col min="6399" max="6399" width="32.140625" style="139" bestFit="1" customWidth="1"/>
    <col min="6400" max="6400" width="19.140625" style="139" customWidth="1"/>
    <col min="6401" max="6401" width="10.42578125" style="139" customWidth="1"/>
    <col min="6402" max="6402" width="14.5703125" style="139" bestFit="1" customWidth="1"/>
    <col min="6403" max="6403" width="14.140625" style="139" bestFit="1" customWidth="1"/>
    <col min="6404" max="6404" width="23" style="139" bestFit="1" customWidth="1"/>
    <col min="6405" max="6653" width="9.140625" style="139"/>
    <col min="6654" max="6654" width="46.85546875" style="139" bestFit="1" customWidth="1"/>
    <col min="6655" max="6655" width="32.140625" style="139" bestFit="1" customWidth="1"/>
    <col min="6656" max="6656" width="19.140625" style="139" customWidth="1"/>
    <col min="6657" max="6657" width="10.42578125" style="139" customWidth="1"/>
    <col min="6658" max="6658" width="14.5703125" style="139" bestFit="1" customWidth="1"/>
    <col min="6659" max="6659" width="14.140625" style="139" bestFit="1" customWidth="1"/>
    <col min="6660" max="6660" width="23" style="139" bestFit="1" customWidth="1"/>
    <col min="6661" max="6909" width="9.140625" style="139"/>
    <col min="6910" max="6910" width="46.85546875" style="139" bestFit="1" customWidth="1"/>
    <col min="6911" max="6911" width="32.140625" style="139" bestFit="1" customWidth="1"/>
    <col min="6912" max="6912" width="19.140625" style="139" customWidth="1"/>
    <col min="6913" max="6913" width="10.42578125" style="139" customWidth="1"/>
    <col min="6914" max="6914" width="14.5703125" style="139" bestFit="1" customWidth="1"/>
    <col min="6915" max="6915" width="14.140625" style="139" bestFit="1" customWidth="1"/>
    <col min="6916" max="6916" width="23" style="139" bestFit="1" customWidth="1"/>
    <col min="6917" max="7165" width="9.140625" style="139"/>
    <col min="7166" max="7166" width="46.85546875" style="139" bestFit="1" customWidth="1"/>
    <col min="7167" max="7167" width="32.140625" style="139" bestFit="1" customWidth="1"/>
    <col min="7168" max="7168" width="19.140625" style="139" customWidth="1"/>
    <col min="7169" max="7169" width="10.42578125" style="139" customWidth="1"/>
    <col min="7170" max="7170" width="14.5703125" style="139" bestFit="1" customWidth="1"/>
    <col min="7171" max="7171" width="14.140625" style="139" bestFit="1" customWidth="1"/>
    <col min="7172" max="7172" width="23" style="139" bestFit="1" customWidth="1"/>
    <col min="7173" max="7421" width="9.140625" style="139"/>
    <col min="7422" max="7422" width="46.85546875" style="139" bestFit="1" customWidth="1"/>
    <col min="7423" max="7423" width="32.140625" style="139" bestFit="1" customWidth="1"/>
    <col min="7424" max="7424" width="19.140625" style="139" customWidth="1"/>
    <col min="7425" max="7425" width="10.42578125" style="139" customWidth="1"/>
    <col min="7426" max="7426" width="14.5703125" style="139" bestFit="1" customWidth="1"/>
    <col min="7427" max="7427" width="14.140625" style="139" bestFit="1" customWidth="1"/>
    <col min="7428" max="7428" width="23" style="139" bestFit="1" customWidth="1"/>
    <col min="7429" max="7677" width="9.140625" style="139"/>
    <col min="7678" max="7678" width="46.85546875" style="139" bestFit="1" customWidth="1"/>
    <col min="7679" max="7679" width="32.140625" style="139" bestFit="1" customWidth="1"/>
    <col min="7680" max="7680" width="19.140625" style="139" customWidth="1"/>
    <col min="7681" max="7681" width="10.42578125" style="139" customWidth="1"/>
    <col min="7682" max="7682" width="14.5703125" style="139" bestFit="1" customWidth="1"/>
    <col min="7683" max="7683" width="14.140625" style="139" bestFit="1" customWidth="1"/>
    <col min="7684" max="7684" width="23" style="139" bestFit="1" customWidth="1"/>
    <col min="7685" max="7933" width="9.140625" style="139"/>
    <col min="7934" max="7934" width="46.85546875" style="139" bestFit="1" customWidth="1"/>
    <col min="7935" max="7935" width="32.140625" style="139" bestFit="1" customWidth="1"/>
    <col min="7936" max="7936" width="19.140625" style="139" customWidth="1"/>
    <col min="7937" max="7937" width="10.42578125" style="139" customWidth="1"/>
    <col min="7938" max="7938" width="14.5703125" style="139" bestFit="1" customWidth="1"/>
    <col min="7939" max="7939" width="14.140625" style="139" bestFit="1" customWidth="1"/>
    <col min="7940" max="7940" width="23" style="139" bestFit="1" customWidth="1"/>
    <col min="7941" max="8189" width="9.140625" style="139"/>
    <col min="8190" max="8190" width="46.85546875" style="139" bestFit="1" customWidth="1"/>
    <col min="8191" max="8191" width="32.140625" style="139" bestFit="1" customWidth="1"/>
    <col min="8192" max="8192" width="19.140625" style="139" customWidth="1"/>
    <col min="8193" max="8193" width="10.42578125" style="139" customWidth="1"/>
    <col min="8194" max="8194" width="14.5703125" style="139" bestFit="1" customWidth="1"/>
    <col min="8195" max="8195" width="14.140625" style="139" bestFit="1" customWidth="1"/>
    <col min="8196" max="8196" width="23" style="139" bestFit="1" customWidth="1"/>
    <col min="8197" max="8445" width="9.140625" style="139"/>
    <col min="8446" max="8446" width="46.85546875" style="139" bestFit="1" customWidth="1"/>
    <col min="8447" max="8447" width="32.140625" style="139" bestFit="1" customWidth="1"/>
    <col min="8448" max="8448" width="19.140625" style="139" customWidth="1"/>
    <col min="8449" max="8449" width="10.42578125" style="139" customWidth="1"/>
    <col min="8450" max="8450" width="14.5703125" style="139" bestFit="1" customWidth="1"/>
    <col min="8451" max="8451" width="14.140625" style="139" bestFit="1" customWidth="1"/>
    <col min="8452" max="8452" width="23" style="139" bestFit="1" customWidth="1"/>
    <col min="8453" max="8701" width="9.140625" style="139"/>
    <col min="8702" max="8702" width="46.85546875" style="139" bestFit="1" customWidth="1"/>
    <col min="8703" max="8703" width="32.140625" style="139" bestFit="1" customWidth="1"/>
    <col min="8704" max="8704" width="19.140625" style="139" customWidth="1"/>
    <col min="8705" max="8705" width="10.42578125" style="139" customWidth="1"/>
    <col min="8706" max="8706" width="14.5703125" style="139" bestFit="1" customWidth="1"/>
    <col min="8707" max="8707" width="14.140625" style="139" bestFit="1" customWidth="1"/>
    <col min="8708" max="8708" width="23" style="139" bestFit="1" customWidth="1"/>
    <col min="8709" max="8957" width="9.140625" style="139"/>
    <col min="8958" max="8958" width="46.85546875" style="139" bestFit="1" customWidth="1"/>
    <col min="8959" max="8959" width="32.140625" style="139" bestFit="1" customWidth="1"/>
    <col min="8960" max="8960" width="19.140625" style="139" customWidth="1"/>
    <col min="8961" max="8961" width="10.42578125" style="139" customWidth="1"/>
    <col min="8962" max="8962" width="14.5703125" style="139" bestFit="1" customWidth="1"/>
    <col min="8963" max="8963" width="14.140625" style="139" bestFit="1" customWidth="1"/>
    <col min="8964" max="8964" width="23" style="139" bestFit="1" customWidth="1"/>
    <col min="8965" max="9213" width="9.140625" style="139"/>
    <col min="9214" max="9214" width="46.85546875" style="139" bestFit="1" customWidth="1"/>
    <col min="9215" max="9215" width="32.140625" style="139" bestFit="1" customWidth="1"/>
    <col min="9216" max="9216" width="19.140625" style="139" customWidth="1"/>
    <col min="9217" max="9217" width="10.42578125" style="139" customWidth="1"/>
    <col min="9218" max="9218" width="14.5703125" style="139" bestFit="1" customWidth="1"/>
    <col min="9219" max="9219" width="14.140625" style="139" bestFit="1" customWidth="1"/>
    <col min="9220" max="9220" width="23" style="139" bestFit="1" customWidth="1"/>
    <col min="9221" max="9469" width="9.140625" style="139"/>
    <col min="9470" max="9470" width="46.85546875" style="139" bestFit="1" customWidth="1"/>
    <col min="9471" max="9471" width="32.140625" style="139" bestFit="1" customWidth="1"/>
    <col min="9472" max="9472" width="19.140625" style="139" customWidth="1"/>
    <col min="9473" max="9473" width="10.42578125" style="139" customWidth="1"/>
    <col min="9474" max="9474" width="14.5703125" style="139" bestFit="1" customWidth="1"/>
    <col min="9475" max="9475" width="14.140625" style="139" bestFit="1" customWidth="1"/>
    <col min="9476" max="9476" width="23" style="139" bestFit="1" customWidth="1"/>
    <col min="9477" max="9725" width="9.140625" style="139"/>
    <col min="9726" max="9726" width="46.85546875" style="139" bestFit="1" customWidth="1"/>
    <col min="9727" max="9727" width="32.140625" style="139" bestFit="1" customWidth="1"/>
    <col min="9728" max="9728" width="19.140625" style="139" customWidth="1"/>
    <col min="9729" max="9729" width="10.42578125" style="139" customWidth="1"/>
    <col min="9730" max="9730" width="14.5703125" style="139" bestFit="1" customWidth="1"/>
    <col min="9731" max="9731" width="14.140625" style="139" bestFit="1" customWidth="1"/>
    <col min="9732" max="9732" width="23" style="139" bestFit="1" customWidth="1"/>
    <col min="9733" max="9981" width="9.140625" style="139"/>
    <col min="9982" max="9982" width="46.85546875" style="139" bestFit="1" customWidth="1"/>
    <col min="9983" max="9983" width="32.140625" style="139" bestFit="1" customWidth="1"/>
    <col min="9984" max="9984" width="19.140625" style="139" customWidth="1"/>
    <col min="9985" max="9985" width="10.42578125" style="139" customWidth="1"/>
    <col min="9986" max="9986" width="14.5703125" style="139" bestFit="1" customWidth="1"/>
    <col min="9987" max="9987" width="14.140625" style="139" bestFit="1" customWidth="1"/>
    <col min="9988" max="9988" width="23" style="139" bestFit="1" customWidth="1"/>
    <col min="9989" max="10237" width="9.140625" style="139"/>
    <col min="10238" max="10238" width="46.85546875" style="139" bestFit="1" customWidth="1"/>
    <col min="10239" max="10239" width="32.140625" style="139" bestFit="1" customWidth="1"/>
    <col min="10240" max="10240" width="19.140625" style="139" customWidth="1"/>
    <col min="10241" max="10241" width="10.42578125" style="139" customWidth="1"/>
    <col min="10242" max="10242" width="14.5703125" style="139" bestFit="1" customWidth="1"/>
    <col min="10243" max="10243" width="14.140625" style="139" bestFit="1" customWidth="1"/>
    <col min="10244" max="10244" width="23" style="139" bestFit="1" customWidth="1"/>
    <col min="10245" max="10493" width="9.140625" style="139"/>
    <col min="10494" max="10494" width="46.85546875" style="139" bestFit="1" customWidth="1"/>
    <col min="10495" max="10495" width="32.140625" style="139" bestFit="1" customWidth="1"/>
    <col min="10496" max="10496" width="19.140625" style="139" customWidth="1"/>
    <col min="10497" max="10497" width="10.42578125" style="139" customWidth="1"/>
    <col min="10498" max="10498" width="14.5703125" style="139" bestFit="1" customWidth="1"/>
    <col min="10499" max="10499" width="14.140625" style="139" bestFit="1" customWidth="1"/>
    <col min="10500" max="10500" width="23" style="139" bestFit="1" customWidth="1"/>
    <col min="10501" max="10749" width="9.140625" style="139"/>
    <col min="10750" max="10750" width="46.85546875" style="139" bestFit="1" customWidth="1"/>
    <col min="10751" max="10751" width="32.140625" style="139" bestFit="1" customWidth="1"/>
    <col min="10752" max="10752" width="19.140625" style="139" customWidth="1"/>
    <col min="10753" max="10753" width="10.42578125" style="139" customWidth="1"/>
    <col min="10754" max="10754" width="14.5703125" style="139" bestFit="1" customWidth="1"/>
    <col min="10755" max="10755" width="14.140625" style="139" bestFit="1" customWidth="1"/>
    <col min="10756" max="10756" width="23" style="139" bestFit="1" customWidth="1"/>
    <col min="10757" max="11005" width="9.140625" style="139"/>
    <col min="11006" max="11006" width="46.85546875" style="139" bestFit="1" customWidth="1"/>
    <col min="11007" max="11007" width="32.140625" style="139" bestFit="1" customWidth="1"/>
    <col min="11008" max="11008" width="19.140625" style="139" customWidth="1"/>
    <col min="11009" max="11009" width="10.42578125" style="139" customWidth="1"/>
    <col min="11010" max="11010" width="14.5703125" style="139" bestFit="1" customWidth="1"/>
    <col min="11011" max="11011" width="14.140625" style="139" bestFit="1" customWidth="1"/>
    <col min="11012" max="11012" width="23" style="139" bestFit="1" customWidth="1"/>
    <col min="11013" max="11261" width="9.140625" style="139"/>
    <col min="11262" max="11262" width="46.85546875" style="139" bestFit="1" customWidth="1"/>
    <col min="11263" max="11263" width="32.140625" style="139" bestFit="1" customWidth="1"/>
    <col min="11264" max="11264" width="19.140625" style="139" customWidth="1"/>
    <col min="11265" max="11265" width="10.42578125" style="139" customWidth="1"/>
    <col min="11266" max="11266" width="14.5703125" style="139" bestFit="1" customWidth="1"/>
    <col min="11267" max="11267" width="14.140625" style="139" bestFit="1" customWidth="1"/>
    <col min="11268" max="11268" width="23" style="139" bestFit="1" customWidth="1"/>
    <col min="11269" max="11517" width="9.140625" style="139"/>
    <col min="11518" max="11518" width="46.85546875" style="139" bestFit="1" customWidth="1"/>
    <col min="11519" max="11519" width="32.140625" style="139" bestFit="1" customWidth="1"/>
    <col min="11520" max="11520" width="19.140625" style="139" customWidth="1"/>
    <col min="11521" max="11521" width="10.42578125" style="139" customWidth="1"/>
    <col min="11522" max="11522" width="14.5703125" style="139" bestFit="1" customWidth="1"/>
    <col min="11523" max="11523" width="14.140625" style="139" bestFit="1" customWidth="1"/>
    <col min="11524" max="11524" width="23" style="139" bestFit="1" customWidth="1"/>
    <col min="11525" max="11773" width="9.140625" style="139"/>
    <col min="11774" max="11774" width="46.85546875" style="139" bestFit="1" customWidth="1"/>
    <col min="11775" max="11775" width="32.140625" style="139" bestFit="1" customWidth="1"/>
    <col min="11776" max="11776" width="19.140625" style="139" customWidth="1"/>
    <col min="11777" max="11777" width="10.42578125" style="139" customWidth="1"/>
    <col min="11778" max="11778" width="14.5703125" style="139" bestFit="1" customWidth="1"/>
    <col min="11779" max="11779" width="14.140625" style="139" bestFit="1" customWidth="1"/>
    <col min="11780" max="11780" width="23" style="139" bestFit="1" customWidth="1"/>
    <col min="11781" max="12029" width="9.140625" style="139"/>
    <col min="12030" max="12030" width="46.85546875" style="139" bestFit="1" customWidth="1"/>
    <col min="12031" max="12031" width="32.140625" style="139" bestFit="1" customWidth="1"/>
    <col min="12032" max="12032" width="19.140625" style="139" customWidth="1"/>
    <col min="12033" max="12033" width="10.42578125" style="139" customWidth="1"/>
    <col min="12034" max="12034" width="14.5703125" style="139" bestFit="1" customWidth="1"/>
    <col min="12035" max="12035" width="14.140625" style="139" bestFit="1" customWidth="1"/>
    <col min="12036" max="12036" width="23" style="139" bestFit="1" customWidth="1"/>
    <col min="12037" max="12285" width="9.140625" style="139"/>
    <col min="12286" max="12286" width="46.85546875" style="139" bestFit="1" customWidth="1"/>
    <col min="12287" max="12287" width="32.140625" style="139" bestFit="1" customWidth="1"/>
    <col min="12288" max="12288" width="19.140625" style="139" customWidth="1"/>
    <col min="12289" max="12289" width="10.42578125" style="139" customWidth="1"/>
    <col min="12290" max="12290" width="14.5703125" style="139" bestFit="1" customWidth="1"/>
    <col min="12291" max="12291" width="14.140625" style="139" bestFit="1" customWidth="1"/>
    <col min="12292" max="12292" width="23" style="139" bestFit="1" customWidth="1"/>
    <col min="12293" max="12541" width="9.140625" style="139"/>
    <col min="12542" max="12542" width="46.85546875" style="139" bestFit="1" customWidth="1"/>
    <col min="12543" max="12543" width="32.140625" style="139" bestFit="1" customWidth="1"/>
    <col min="12544" max="12544" width="19.140625" style="139" customWidth="1"/>
    <col min="12545" max="12545" width="10.42578125" style="139" customWidth="1"/>
    <col min="12546" max="12546" width="14.5703125" style="139" bestFit="1" customWidth="1"/>
    <col min="12547" max="12547" width="14.140625" style="139" bestFit="1" customWidth="1"/>
    <col min="12548" max="12548" width="23" style="139" bestFit="1" customWidth="1"/>
    <col min="12549" max="12797" width="9.140625" style="139"/>
    <col min="12798" max="12798" width="46.85546875" style="139" bestFit="1" customWidth="1"/>
    <col min="12799" max="12799" width="32.140625" style="139" bestFit="1" customWidth="1"/>
    <col min="12800" max="12800" width="19.140625" style="139" customWidth="1"/>
    <col min="12801" max="12801" width="10.42578125" style="139" customWidth="1"/>
    <col min="12802" max="12802" width="14.5703125" style="139" bestFit="1" customWidth="1"/>
    <col min="12803" max="12803" width="14.140625" style="139" bestFit="1" customWidth="1"/>
    <col min="12804" max="12804" width="23" style="139" bestFit="1" customWidth="1"/>
    <col min="12805" max="13053" width="9.140625" style="139"/>
    <col min="13054" max="13054" width="46.85546875" style="139" bestFit="1" customWidth="1"/>
    <col min="13055" max="13055" width="32.140625" style="139" bestFit="1" customWidth="1"/>
    <col min="13056" max="13056" width="19.140625" style="139" customWidth="1"/>
    <col min="13057" max="13057" width="10.42578125" style="139" customWidth="1"/>
    <col min="13058" max="13058" width="14.5703125" style="139" bestFit="1" customWidth="1"/>
    <col min="13059" max="13059" width="14.140625" style="139" bestFit="1" customWidth="1"/>
    <col min="13060" max="13060" width="23" style="139" bestFit="1" customWidth="1"/>
    <col min="13061" max="13309" width="9.140625" style="139"/>
    <col min="13310" max="13310" width="46.85546875" style="139" bestFit="1" customWidth="1"/>
    <col min="13311" max="13311" width="32.140625" style="139" bestFit="1" customWidth="1"/>
    <col min="13312" max="13312" width="19.140625" style="139" customWidth="1"/>
    <col min="13313" max="13313" width="10.42578125" style="139" customWidth="1"/>
    <col min="13314" max="13314" width="14.5703125" style="139" bestFit="1" customWidth="1"/>
    <col min="13315" max="13315" width="14.140625" style="139" bestFit="1" customWidth="1"/>
    <col min="13316" max="13316" width="23" style="139" bestFit="1" customWidth="1"/>
    <col min="13317" max="13565" width="9.140625" style="139"/>
    <col min="13566" max="13566" width="46.85546875" style="139" bestFit="1" customWidth="1"/>
    <col min="13567" max="13567" width="32.140625" style="139" bestFit="1" customWidth="1"/>
    <col min="13568" max="13568" width="19.140625" style="139" customWidth="1"/>
    <col min="13569" max="13569" width="10.42578125" style="139" customWidth="1"/>
    <col min="13570" max="13570" width="14.5703125" style="139" bestFit="1" customWidth="1"/>
    <col min="13571" max="13571" width="14.140625" style="139" bestFit="1" customWidth="1"/>
    <col min="13572" max="13572" width="23" style="139" bestFit="1" customWidth="1"/>
    <col min="13573" max="13821" width="9.140625" style="139"/>
    <col min="13822" max="13822" width="46.85546875" style="139" bestFit="1" customWidth="1"/>
    <col min="13823" max="13823" width="32.140625" style="139" bestFit="1" customWidth="1"/>
    <col min="13824" max="13824" width="19.140625" style="139" customWidth="1"/>
    <col min="13825" max="13825" width="10.42578125" style="139" customWidth="1"/>
    <col min="13826" max="13826" width="14.5703125" style="139" bestFit="1" customWidth="1"/>
    <col min="13827" max="13827" width="14.140625" style="139" bestFit="1" customWidth="1"/>
    <col min="13828" max="13828" width="23" style="139" bestFit="1" customWidth="1"/>
    <col min="13829" max="14077" width="9.140625" style="139"/>
    <col min="14078" max="14078" width="46.85546875" style="139" bestFit="1" customWidth="1"/>
    <col min="14079" max="14079" width="32.140625" style="139" bestFit="1" customWidth="1"/>
    <col min="14080" max="14080" width="19.140625" style="139" customWidth="1"/>
    <col min="14081" max="14081" width="10.42578125" style="139" customWidth="1"/>
    <col min="14082" max="14082" width="14.5703125" style="139" bestFit="1" customWidth="1"/>
    <col min="14083" max="14083" width="14.140625" style="139" bestFit="1" customWidth="1"/>
    <col min="14084" max="14084" width="23" style="139" bestFit="1" customWidth="1"/>
    <col min="14085" max="14333" width="9.140625" style="139"/>
    <col min="14334" max="14334" width="46.85546875" style="139" bestFit="1" customWidth="1"/>
    <col min="14335" max="14335" width="32.140625" style="139" bestFit="1" customWidth="1"/>
    <col min="14336" max="14336" width="19.140625" style="139" customWidth="1"/>
    <col min="14337" max="14337" width="10.42578125" style="139" customWidth="1"/>
    <col min="14338" max="14338" width="14.5703125" style="139" bestFit="1" customWidth="1"/>
    <col min="14339" max="14339" width="14.140625" style="139" bestFit="1" customWidth="1"/>
    <col min="14340" max="14340" width="23" style="139" bestFit="1" customWidth="1"/>
    <col min="14341" max="14589" width="9.140625" style="139"/>
    <col min="14590" max="14590" width="46.85546875" style="139" bestFit="1" customWidth="1"/>
    <col min="14591" max="14591" width="32.140625" style="139" bestFit="1" customWidth="1"/>
    <col min="14592" max="14592" width="19.140625" style="139" customWidth="1"/>
    <col min="14593" max="14593" width="10.42578125" style="139" customWidth="1"/>
    <col min="14594" max="14594" width="14.5703125" style="139" bestFit="1" customWidth="1"/>
    <col min="14595" max="14595" width="14.140625" style="139" bestFit="1" customWidth="1"/>
    <col min="14596" max="14596" width="23" style="139" bestFit="1" customWidth="1"/>
    <col min="14597" max="14845" width="9.140625" style="139"/>
    <col min="14846" max="14846" width="46.85546875" style="139" bestFit="1" customWidth="1"/>
    <col min="14847" max="14847" width="32.140625" style="139" bestFit="1" customWidth="1"/>
    <col min="14848" max="14848" width="19.140625" style="139" customWidth="1"/>
    <col min="14849" max="14849" width="10.42578125" style="139" customWidth="1"/>
    <col min="14850" max="14850" width="14.5703125" style="139" bestFit="1" customWidth="1"/>
    <col min="14851" max="14851" width="14.140625" style="139" bestFit="1" customWidth="1"/>
    <col min="14852" max="14852" width="23" style="139" bestFit="1" customWidth="1"/>
    <col min="14853" max="15101" width="9.140625" style="139"/>
    <col min="15102" max="15102" width="46.85546875" style="139" bestFit="1" customWidth="1"/>
    <col min="15103" max="15103" width="32.140625" style="139" bestFit="1" customWidth="1"/>
    <col min="15104" max="15104" width="19.140625" style="139" customWidth="1"/>
    <col min="15105" max="15105" width="10.42578125" style="139" customWidth="1"/>
    <col min="15106" max="15106" width="14.5703125" style="139" bestFit="1" customWidth="1"/>
    <col min="15107" max="15107" width="14.140625" style="139" bestFit="1" customWidth="1"/>
    <col min="15108" max="15108" width="23" style="139" bestFit="1" customWidth="1"/>
    <col min="15109" max="15357" width="9.140625" style="139"/>
    <col min="15358" max="15358" width="46.85546875" style="139" bestFit="1" customWidth="1"/>
    <col min="15359" max="15359" width="32.140625" style="139" bestFit="1" customWidth="1"/>
    <col min="15360" max="15360" width="19.140625" style="139" customWidth="1"/>
    <col min="15361" max="15361" width="10.42578125" style="139" customWidth="1"/>
    <col min="15362" max="15362" width="14.5703125" style="139" bestFit="1" customWidth="1"/>
    <col min="15363" max="15363" width="14.140625" style="139" bestFit="1" customWidth="1"/>
    <col min="15364" max="15364" width="23" style="139" bestFit="1" customWidth="1"/>
    <col min="15365" max="15613" width="9.140625" style="139"/>
    <col min="15614" max="15614" width="46.85546875" style="139" bestFit="1" customWidth="1"/>
    <col min="15615" max="15615" width="32.140625" style="139" bestFit="1" customWidth="1"/>
    <col min="15616" max="15616" width="19.140625" style="139" customWidth="1"/>
    <col min="15617" max="15617" width="10.42578125" style="139" customWidth="1"/>
    <col min="15618" max="15618" width="14.5703125" style="139" bestFit="1" customWidth="1"/>
    <col min="15619" max="15619" width="14.140625" style="139" bestFit="1" customWidth="1"/>
    <col min="15620" max="15620" width="23" style="139" bestFit="1" customWidth="1"/>
    <col min="15621" max="15869" width="9.140625" style="139"/>
    <col min="15870" max="15870" width="46.85546875" style="139" bestFit="1" customWidth="1"/>
    <col min="15871" max="15871" width="32.140625" style="139" bestFit="1" customWidth="1"/>
    <col min="15872" max="15872" width="19.140625" style="139" customWidth="1"/>
    <col min="15873" max="15873" width="10.42578125" style="139" customWidth="1"/>
    <col min="15874" max="15874" width="14.5703125" style="139" bestFit="1" customWidth="1"/>
    <col min="15875" max="15875" width="14.140625" style="139" bestFit="1" customWidth="1"/>
    <col min="15876" max="15876" width="23" style="139" bestFit="1" customWidth="1"/>
    <col min="15877" max="16125" width="9.140625" style="139"/>
    <col min="16126" max="16126" width="46.85546875" style="139" bestFit="1" customWidth="1"/>
    <col min="16127" max="16127" width="32.140625" style="139" bestFit="1" customWidth="1"/>
    <col min="16128" max="16128" width="19.140625" style="139" customWidth="1"/>
    <col min="16129" max="16129" width="10.42578125" style="139" customWidth="1"/>
    <col min="16130" max="16130" width="14.5703125" style="139" bestFit="1" customWidth="1"/>
    <col min="16131" max="16131" width="14.140625" style="139" bestFit="1" customWidth="1"/>
    <col min="16132" max="16132" width="23" style="139" bestFit="1" customWidth="1"/>
    <col min="16133" max="16384" width="9.140625" style="139"/>
  </cols>
  <sheetData>
    <row r="1" spans="1:10" x14ac:dyDescent="0.2">
      <c r="A1" s="159" t="s">
        <v>479</v>
      </c>
    </row>
    <row r="2" spans="1:10" x14ac:dyDescent="0.2">
      <c r="B2" s="138"/>
      <c r="C2" s="138"/>
      <c r="D2" s="138"/>
    </row>
    <row r="3" spans="1:10" x14ac:dyDescent="0.2">
      <c r="A3" s="139" t="s">
        <v>193</v>
      </c>
      <c r="B3" s="150" t="s">
        <v>475</v>
      </c>
      <c r="C3" s="150" t="s">
        <v>476</v>
      </c>
      <c r="D3" s="150" t="s">
        <v>299</v>
      </c>
      <c r="E3" s="150" t="s">
        <v>477</v>
      </c>
      <c r="F3" s="156" t="s">
        <v>478</v>
      </c>
    </row>
    <row r="4" spans="1:10" x14ac:dyDescent="0.2">
      <c r="A4" s="158">
        <f t="shared" ref="A4:A35" si="0">IF(RIGHT(D4,2)="CU","N/A",_xlfn.NUMBERVALUE(RIGHT(D4,3)))</f>
        <v>201</v>
      </c>
      <c r="B4" s="150" t="s">
        <v>376</v>
      </c>
      <c r="C4" s="150" t="s">
        <v>195</v>
      </c>
      <c r="D4" s="150" t="s">
        <v>300</v>
      </c>
      <c r="E4" s="151" t="s">
        <v>387</v>
      </c>
      <c r="F4" s="139">
        <v>69</v>
      </c>
      <c r="G4" s="157">
        <v>69</v>
      </c>
    </row>
    <row r="5" spans="1:10" x14ac:dyDescent="0.2">
      <c r="A5" s="158">
        <f t="shared" si="0"/>
        <v>203</v>
      </c>
      <c r="B5" s="150" t="s">
        <v>376</v>
      </c>
      <c r="C5" s="150" t="s">
        <v>195</v>
      </c>
      <c r="D5" s="150" t="s">
        <v>301</v>
      </c>
      <c r="E5" s="151" t="s">
        <v>388</v>
      </c>
      <c r="F5" s="139">
        <v>2835</v>
      </c>
      <c r="G5" s="157">
        <v>2799</v>
      </c>
    </row>
    <row r="6" spans="1:10" x14ac:dyDescent="0.2">
      <c r="A6" s="158">
        <f t="shared" si="0"/>
        <v>204</v>
      </c>
      <c r="B6" s="150" t="s">
        <v>376</v>
      </c>
      <c r="C6" s="150" t="s">
        <v>195</v>
      </c>
      <c r="D6" s="150" t="s">
        <v>302</v>
      </c>
      <c r="E6" s="151" t="s">
        <v>389</v>
      </c>
      <c r="F6" s="139">
        <v>2979</v>
      </c>
      <c r="G6" s="157">
        <v>2958</v>
      </c>
    </row>
    <row r="7" spans="1:10" x14ac:dyDescent="0.2">
      <c r="A7" s="158">
        <f t="shared" si="0"/>
        <v>206</v>
      </c>
      <c r="B7" s="150" t="s">
        <v>376</v>
      </c>
      <c r="C7" s="150" t="s">
        <v>195</v>
      </c>
      <c r="D7" s="150" t="s">
        <v>303</v>
      </c>
      <c r="E7" s="151" t="s">
        <v>392</v>
      </c>
      <c r="F7" s="139">
        <v>72</v>
      </c>
      <c r="G7" s="157">
        <v>72</v>
      </c>
    </row>
    <row r="8" spans="1:10" x14ac:dyDescent="0.2">
      <c r="A8" s="158">
        <f t="shared" si="0"/>
        <v>207</v>
      </c>
      <c r="B8" s="152" t="s">
        <v>376</v>
      </c>
      <c r="C8" s="152" t="s">
        <v>195</v>
      </c>
      <c r="D8" s="152" t="s">
        <v>304</v>
      </c>
      <c r="E8" s="151" t="s">
        <v>393</v>
      </c>
      <c r="F8" s="139">
        <v>626</v>
      </c>
      <c r="G8" s="157">
        <v>619</v>
      </c>
    </row>
    <row r="9" spans="1:10" x14ac:dyDescent="0.2">
      <c r="A9" s="158">
        <f t="shared" si="0"/>
        <v>208</v>
      </c>
      <c r="B9" s="150" t="s">
        <v>376</v>
      </c>
      <c r="C9" s="150" t="s">
        <v>195</v>
      </c>
      <c r="D9" s="150" t="s">
        <v>305</v>
      </c>
      <c r="E9" s="151" t="s">
        <v>394</v>
      </c>
      <c r="F9" s="139">
        <v>1298</v>
      </c>
      <c r="G9" s="157">
        <v>1293</v>
      </c>
    </row>
    <row r="10" spans="1:10" x14ac:dyDescent="0.2">
      <c r="A10" s="158">
        <f t="shared" si="0"/>
        <v>209</v>
      </c>
      <c r="B10" s="150" t="s">
        <v>376</v>
      </c>
      <c r="C10" s="150" t="s">
        <v>195</v>
      </c>
      <c r="D10" s="150" t="s">
        <v>306</v>
      </c>
      <c r="E10" s="151" t="s">
        <v>395</v>
      </c>
      <c r="F10" s="139">
        <v>25</v>
      </c>
      <c r="G10" s="157">
        <v>24</v>
      </c>
    </row>
    <row r="11" spans="1:10" x14ac:dyDescent="0.2">
      <c r="A11" s="158">
        <f t="shared" si="0"/>
        <v>210</v>
      </c>
      <c r="B11" s="150" t="s">
        <v>376</v>
      </c>
      <c r="C11" s="150" t="s">
        <v>195</v>
      </c>
      <c r="D11" s="150" t="s">
        <v>307</v>
      </c>
      <c r="E11" s="151" t="s">
        <v>398</v>
      </c>
      <c r="F11" s="139">
        <v>259</v>
      </c>
      <c r="G11" s="157">
        <v>252</v>
      </c>
    </row>
    <row r="12" spans="1:10" x14ac:dyDescent="0.2">
      <c r="A12" s="158">
        <f t="shared" si="0"/>
        <v>252</v>
      </c>
      <c r="B12" s="150" t="s">
        <v>376</v>
      </c>
      <c r="C12" s="150" t="s">
        <v>195</v>
      </c>
      <c r="D12" s="150" t="s">
        <v>308</v>
      </c>
      <c r="E12" s="151" t="s">
        <v>399</v>
      </c>
      <c r="F12" s="139">
        <v>3440</v>
      </c>
      <c r="G12" s="157">
        <v>3388</v>
      </c>
    </row>
    <row r="13" spans="1:10" ht="15" x14ac:dyDescent="0.25">
      <c r="A13" s="158">
        <f t="shared" si="0"/>
        <v>266</v>
      </c>
      <c r="B13" s="150" t="s">
        <v>376</v>
      </c>
      <c r="C13" s="150" t="s">
        <v>195</v>
      </c>
      <c r="D13" s="150" t="s">
        <v>309</v>
      </c>
      <c r="E13" s="151" t="s">
        <v>400</v>
      </c>
      <c r="F13" s="139">
        <v>2055</v>
      </c>
      <c r="G13" s="157">
        <v>2049</v>
      </c>
      <c r="J13" s="343"/>
    </row>
    <row r="14" spans="1:10" x14ac:dyDescent="0.2">
      <c r="A14" s="158">
        <f t="shared" si="0"/>
        <v>267</v>
      </c>
      <c r="B14" s="150" t="s">
        <v>376</v>
      </c>
      <c r="C14" s="150" t="s">
        <v>195</v>
      </c>
      <c r="D14" s="150" t="s">
        <v>310</v>
      </c>
      <c r="E14" s="151" t="s">
        <v>401</v>
      </c>
      <c r="F14" s="139">
        <v>2228</v>
      </c>
      <c r="G14" s="157">
        <v>2201</v>
      </c>
    </row>
    <row r="15" spans="1:10" x14ac:dyDescent="0.2">
      <c r="A15" s="158">
        <f t="shared" si="0"/>
        <v>274</v>
      </c>
      <c r="B15" s="150" t="s">
        <v>376</v>
      </c>
      <c r="C15" s="150" t="s">
        <v>195</v>
      </c>
      <c r="D15" s="150" t="s">
        <v>311</v>
      </c>
      <c r="E15" s="151" t="s">
        <v>402</v>
      </c>
      <c r="F15" s="139">
        <v>16918</v>
      </c>
      <c r="G15" s="157">
        <v>16330</v>
      </c>
    </row>
    <row r="16" spans="1:10" x14ac:dyDescent="0.2">
      <c r="A16" s="158">
        <f t="shared" si="0"/>
        <v>275</v>
      </c>
      <c r="B16" s="150" t="s">
        <v>376</v>
      </c>
      <c r="C16" s="150" t="s">
        <v>195</v>
      </c>
      <c r="D16" s="150" t="s">
        <v>312</v>
      </c>
      <c r="E16" s="151" t="s">
        <v>403</v>
      </c>
      <c r="F16" s="139">
        <v>474</v>
      </c>
      <c r="G16" s="157">
        <v>474</v>
      </c>
    </row>
    <row r="17" spans="1:7" x14ac:dyDescent="0.2">
      <c r="A17" s="158">
        <f t="shared" si="0"/>
        <v>276</v>
      </c>
      <c r="B17" s="150" t="s">
        <v>376</v>
      </c>
      <c r="C17" s="150" t="s">
        <v>195</v>
      </c>
      <c r="D17" s="150" t="s">
        <v>313</v>
      </c>
      <c r="E17" s="151" t="s">
        <v>404</v>
      </c>
      <c r="F17" s="139">
        <v>1341</v>
      </c>
      <c r="G17" s="157">
        <v>1333</v>
      </c>
    </row>
    <row r="18" spans="1:7" x14ac:dyDescent="0.2">
      <c r="A18" s="158">
        <f t="shared" si="0"/>
        <v>277</v>
      </c>
      <c r="B18" s="150" t="s">
        <v>376</v>
      </c>
      <c r="C18" s="150" t="s">
        <v>195</v>
      </c>
      <c r="D18" s="150" t="s">
        <v>314</v>
      </c>
      <c r="E18" s="151" t="s">
        <v>405</v>
      </c>
      <c r="F18" s="139">
        <v>2333</v>
      </c>
      <c r="G18" s="157">
        <v>2328</v>
      </c>
    </row>
    <row r="19" spans="1:7" x14ac:dyDescent="0.2">
      <c r="A19" s="158">
        <f t="shared" si="0"/>
        <v>278</v>
      </c>
      <c r="B19" s="150" t="s">
        <v>376</v>
      </c>
      <c r="C19" s="150" t="s">
        <v>195</v>
      </c>
      <c r="D19" s="150" t="s">
        <v>315</v>
      </c>
      <c r="E19" s="151" t="s">
        <v>406</v>
      </c>
      <c r="F19" s="139">
        <v>10</v>
      </c>
      <c r="G19" s="157">
        <v>10</v>
      </c>
    </row>
    <row r="20" spans="1:7" x14ac:dyDescent="0.2">
      <c r="A20" s="158">
        <f t="shared" si="0"/>
        <v>279</v>
      </c>
      <c r="B20" s="150" t="s">
        <v>376</v>
      </c>
      <c r="C20" s="150" t="s">
        <v>195</v>
      </c>
      <c r="D20" s="150" t="s">
        <v>316</v>
      </c>
      <c r="E20" s="151" t="s">
        <v>407</v>
      </c>
      <c r="F20" s="139">
        <v>6</v>
      </c>
      <c r="G20" s="157">
        <v>6</v>
      </c>
    </row>
    <row r="21" spans="1:7" x14ac:dyDescent="0.2">
      <c r="A21" s="158">
        <f t="shared" si="0"/>
        <v>280</v>
      </c>
      <c r="B21" s="150" t="s">
        <v>376</v>
      </c>
      <c r="C21" s="150" t="s">
        <v>195</v>
      </c>
      <c r="D21" s="150" t="s">
        <v>317</v>
      </c>
      <c r="E21" s="151" t="s">
        <v>408</v>
      </c>
      <c r="F21" s="139">
        <v>46</v>
      </c>
      <c r="G21" s="157">
        <v>46</v>
      </c>
    </row>
    <row r="22" spans="1:7" x14ac:dyDescent="0.2">
      <c r="A22" s="158">
        <f t="shared" si="0"/>
        <v>281</v>
      </c>
      <c r="B22" s="150" t="s">
        <v>376</v>
      </c>
      <c r="C22" s="150" t="s">
        <v>195</v>
      </c>
      <c r="D22" s="150" t="s">
        <v>318</v>
      </c>
      <c r="E22" s="151" t="s">
        <v>409</v>
      </c>
      <c r="F22" s="139">
        <v>243</v>
      </c>
      <c r="G22" s="157">
        <v>243</v>
      </c>
    </row>
    <row r="23" spans="1:7" x14ac:dyDescent="0.2">
      <c r="A23" s="158">
        <f t="shared" si="0"/>
        <v>282</v>
      </c>
      <c r="B23" s="153" t="s">
        <v>376</v>
      </c>
      <c r="C23" s="153" t="s">
        <v>195</v>
      </c>
      <c r="D23" s="153" t="s">
        <v>319</v>
      </c>
      <c r="E23" s="151" t="s">
        <v>410</v>
      </c>
      <c r="F23" s="139">
        <v>106</v>
      </c>
      <c r="G23" s="157">
        <v>106</v>
      </c>
    </row>
    <row r="24" spans="1:7" x14ac:dyDescent="0.2">
      <c r="A24" s="158">
        <f t="shared" si="0"/>
        <v>283</v>
      </c>
      <c r="B24" s="150" t="s">
        <v>376</v>
      </c>
      <c r="C24" s="150" t="s">
        <v>195</v>
      </c>
      <c r="D24" s="150" t="s">
        <v>320</v>
      </c>
      <c r="E24" s="151" t="s">
        <v>411</v>
      </c>
      <c r="F24" s="139">
        <v>99</v>
      </c>
      <c r="G24" s="157">
        <v>103</v>
      </c>
    </row>
    <row r="25" spans="1:7" x14ac:dyDescent="0.2">
      <c r="A25" s="158">
        <f t="shared" si="0"/>
        <v>314</v>
      </c>
      <c r="B25" s="150" t="s">
        <v>376</v>
      </c>
      <c r="C25" s="150" t="s">
        <v>195</v>
      </c>
      <c r="D25" s="150" t="s">
        <v>321</v>
      </c>
      <c r="E25" s="151" t="s">
        <v>412</v>
      </c>
      <c r="F25" s="139">
        <v>421</v>
      </c>
      <c r="G25" s="157">
        <v>421</v>
      </c>
    </row>
    <row r="26" spans="1:7" x14ac:dyDescent="0.2">
      <c r="A26" s="158">
        <f t="shared" si="0"/>
        <v>315</v>
      </c>
      <c r="B26" s="150" t="s">
        <v>376</v>
      </c>
      <c r="C26" s="150" t="s">
        <v>195</v>
      </c>
      <c r="D26" s="150" t="s">
        <v>322</v>
      </c>
      <c r="E26" s="151" t="s">
        <v>413</v>
      </c>
      <c r="F26" s="139">
        <v>435</v>
      </c>
      <c r="G26" s="157">
        <v>433</v>
      </c>
    </row>
    <row r="27" spans="1:7" x14ac:dyDescent="0.2">
      <c r="A27" s="158">
        <f t="shared" si="0"/>
        <v>318</v>
      </c>
      <c r="B27" s="150" t="s">
        <v>376</v>
      </c>
      <c r="C27" s="150" t="s">
        <v>195</v>
      </c>
      <c r="D27" s="150" t="s">
        <v>323</v>
      </c>
      <c r="E27" s="151" t="s">
        <v>414</v>
      </c>
      <c r="F27" s="139">
        <v>44</v>
      </c>
      <c r="G27" s="157">
        <v>43</v>
      </c>
    </row>
    <row r="28" spans="1:7" x14ac:dyDescent="0.2">
      <c r="A28" s="158">
        <f t="shared" si="0"/>
        <v>348</v>
      </c>
      <c r="B28" s="150" t="s">
        <v>376</v>
      </c>
      <c r="C28" s="150" t="s">
        <v>195</v>
      </c>
      <c r="D28" s="150" t="s">
        <v>324</v>
      </c>
      <c r="E28" s="151" t="s">
        <v>415</v>
      </c>
      <c r="F28" s="139">
        <v>39</v>
      </c>
      <c r="G28" s="157">
        <v>39</v>
      </c>
    </row>
    <row r="29" spans="1:7" x14ac:dyDescent="0.2">
      <c r="A29" s="158">
        <f t="shared" si="0"/>
        <v>349</v>
      </c>
      <c r="B29" s="150" t="s">
        <v>376</v>
      </c>
      <c r="C29" s="150" t="s">
        <v>195</v>
      </c>
      <c r="D29" s="150" t="s">
        <v>325</v>
      </c>
      <c r="E29" s="151" t="s">
        <v>416</v>
      </c>
      <c r="F29" s="139">
        <v>16</v>
      </c>
      <c r="G29" s="157">
        <v>16</v>
      </c>
    </row>
    <row r="30" spans="1:7" x14ac:dyDescent="0.2">
      <c r="A30" s="158">
        <f t="shared" si="0"/>
        <v>400</v>
      </c>
      <c r="B30" s="150" t="s">
        <v>376</v>
      </c>
      <c r="C30" s="150" t="s">
        <v>195</v>
      </c>
      <c r="D30" s="150" t="s">
        <v>326</v>
      </c>
      <c r="E30" s="151" t="s">
        <v>417</v>
      </c>
      <c r="F30" s="139">
        <v>56</v>
      </c>
      <c r="G30" s="157">
        <v>56</v>
      </c>
    </row>
    <row r="31" spans="1:7" x14ac:dyDescent="0.2">
      <c r="A31" s="158">
        <f t="shared" si="0"/>
        <v>401</v>
      </c>
      <c r="B31" s="150" t="s">
        <v>376</v>
      </c>
      <c r="C31" s="150" t="s">
        <v>195</v>
      </c>
      <c r="D31" s="150" t="s">
        <v>327</v>
      </c>
      <c r="E31" s="151" t="s">
        <v>418</v>
      </c>
      <c r="F31" s="139">
        <v>29</v>
      </c>
      <c r="G31" s="157">
        <v>31</v>
      </c>
    </row>
    <row r="32" spans="1:7" x14ac:dyDescent="0.2">
      <c r="A32" s="158">
        <f t="shared" si="0"/>
        <v>412</v>
      </c>
      <c r="B32" s="150" t="s">
        <v>376</v>
      </c>
      <c r="C32" s="150" t="s">
        <v>195</v>
      </c>
      <c r="D32" s="150" t="s">
        <v>328</v>
      </c>
      <c r="E32" s="151" t="s">
        <v>419</v>
      </c>
      <c r="F32" s="139">
        <v>225</v>
      </c>
      <c r="G32" s="157">
        <v>221</v>
      </c>
    </row>
    <row r="33" spans="1:7" x14ac:dyDescent="0.2">
      <c r="A33" s="158">
        <f t="shared" si="0"/>
        <v>413</v>
      </c>
      <c r="B33" s="150" t="s">
        <v>376</v>
      </c>
      <c r="C33" s="150" t="s">
        <v>195</v>
      </c>
      <c r="D33" s="150" t="s">
        <v>329</v>
      </c>
      <c r="E33" s="151" t="s">
        <v>420</v>
      </c>
      <c r="F33" s="139">
        <v>2993</v>
      </c>
      <c r="G33" s="157">
        <v>1887</v>
      </c>
    </row>
    <row r="34" spans="1:7" x14ac:dyDescent="0.2">
      <c r="A34" s="158">
        <f t="shared" si="0"/>
        <v>415</v>
      </c>
      <c r="B34" s="150" t="s">
        <v>376</v>
      </c>
      <c r="C34" s="150" t="s">
        <v>195</v>
      </c>
      <c r="D34" s="150" t="s">
        <v>330</v>
      </c>
      <c r="E34" s="151" t="s">
        <v>421</v>
      </c>
      <c r="F34" s="139">
        <v>78</v>
      </c>
      <c r="G34" s="157">
        <v>112</v>
      </c>
    </row>
    <row r="35" spans="1:7" x14ac:dyDescent="0.2">
      <c r="A35" s="158">
        <f t="shared" si="0"/>
        <v>416</v>
      </c>
      <c r="B35" s="150" t="s">
        <v>376</v>
      </c>
      <c r="C35" s="150" t="s">
        <v>195</v>
      </c>
      <c r="D35" s="150" t="s">
        <v>331</v>
      </c>
      <c r="E35" s="151" t="s">
        <v>422</v>
      </c>
      <c r="F35" s="139">
        <v>2217</v>
      </c>
      <c r="G35" s="157">
        <v>2253</v>
      </c>
    </row>
    <row r="36" spans="1:7" x14ac:dyDescent="0.2">
      <c r="A36" s="158">
        <f t="shared" ref="A36:A67" si="1">IF(RIGHT(D36,2)="CU","N/A",_xlfn.NUMBERVALUE(RIGHT(D36,3)))</f>
        <v>417</v>
      </c>
      <c r="B36" s="150" t="s">
        <v>376</v>
      </c>
      <c r="C36" s="150" t="s">
        <v>195</v>
      </c>
      <c r="D36" s="150" t="s">
        <v>332</v>
      </c>
      <c r="E36" s="151" t="s">
        <v>423</v>
      </c>
      <c r="F36" s="139">
        <v>50</v>
      </c>
      <c r="G36" s="157">
        <v>50</v>
      </c>
    </row>
    <row r="37" spans="1:7" x14ac:dyDescent="0.2">
      <c r="A37" s="158">
        <f t="shared" si="1"/>
        <v>419</v>
      </c>
      <c r="B37" s="150" t="s">
        <v>376</v>
      </c>
      <c r="C37" s="150" t="s">
        <v>195</v>
      </c>
      <c r="D37" s="150" t="s">
        <v>333</v>
      </c>
      <c r="E37" s="151" t="s">
        <v>424</v>
      </c>
      <c r="F37" s="139">
        <v>117</v>
      </c>
      <c r="G37" s="157">
        <v>117</v>
      </c>
    </row>
    <row r="38" spans="1:7" x14ac:dyDescent="0.2">
      <c r="A38" s="158">
        <f t="shared" si="1"/>
        <v>420</v>
      </c>
      <c r="B38" s="150" t="s">
        <v>376</v>
      </c>
      <c r="C38" s="150" t="s">
        <v>195</v>
      </c>
      <c r="D38" s="150" t="s">
        <v>334</v>
      </c>
      <c r="E38" s="151" t="s">
        <v>425</v>
      </c>
      <c r="F38" s="139">
        <v>63</v>
      </c>
      <c r="G38" s="157">
        <v>63</v>
      </c>
    </row>
    <row r="39" spans="1:7" x14ac:dyDescent="0.2">
      <c r="A39" s="158">
        <f t="shared" si="1"/>
        <v>421</v>
      </c>
      <c r="B39" s="150" t="s">
        <v>376</v>
      </c>
      <c r="C39" s="150" t="s">
        <v>195</v>
      </c>
      <c r="D39" s="150" t="s">
        <v>335</v>
      </c>
      <c r="E39" s="151" t="s">
        <v>426</v>
      </c>
      <c r="F39" s="139">
        <v>240</v>
      </c>
      <c r="G39" s="157">
        <v>240</v>
      </c>
    </row>
    <row r="40" spans="1:7" x14ac:dyDescent="0.2">
      <c r="A40" s="158">
        <f t="shared" si="1"/>
        <v>422</v>
      </c>
      <c r="B40" s="150" t="s">
        <v>376</v>
      </c>
      <c r="C40" s="150" t="s">
        <v>195</v>
      </c>
      <c r="D40" s="150" t="s">
        <v>336</v>
      </c>
      <c r="E40" s="151" t="s">
        <v>427</v>
      </c>
      <c r="F40" s="139">
        <v>475</v>
      </c>
      <c r="G40" s="157">
        <v>493</v>
      </c>
    </row>
    <row r="41" spans="1:7" x14ac:dyDescent="0.2">
      <c r="A41" s="158">
        <f t="shared" si="1"/>
        <v>423</v>
      </c>
      <c r="B41" s="150" t="s">
        <v>376</v>
      </c>
      <c r="C41" s="150" t="s">
        <v>195</v>
      </c>
      <c r="D41" s="150" t="s">
        <v>337</v>
      </c>
      <c r="E41" s="151" t="s">
        <v>428</v>
      </c>
      <c r="F41" s="139">
        <v>26</v>
      </c>
      <c r="G41" s="157">
        <v>27</v>
      </c>
    </row>
    <row r="42" spans="1:7" x14ac:dyDescent="0.2">
      <c r="A42" s="158">
        <f t="shared" si="1"/>
        <v>424</v>
      </c>
      <c r="B42" s="150" t="s">
        <v>376</v>
      </c>
      <c r="C42" s="150" t="s">
        <v>195</v>
      </c>
      <c r="D42" s="150" t="s">
        <v>338</v>
      </c>
      <c r="E42" s="151" t="s">
        <v>429</v>
      </c>
      <c r="F42" s="139">
        <v>672</v>
      </c>
      <c r="G42" s="157">
        <v>672</v>
      </c>
    </row>
    <row r="43" spans="1:7" x14ac:dyDescent="0.2">
      <c r="A43" s="158">
        <f t="shared" si="1"/>
        <v>425</v>
      </c>
      <c r="B43" s="150" t="s">
        <v>376</v>
      </c>
      <c r="C43" s="150" t="s">
        <v>195</v>
      </c>
      <c r="D43" s="150" t="s">
        <v>339</v>
      </c>
      <c r="E43" s="151" t="s">
        <v>430</v>
      </c>
      <c r="F43" s="139">
        <v>48</v>
      </c>
      <c r="G43" s="157">
        <v>48</v>
      </c>
    </row>
    <row r="44" spans="1:7" x14ac:dyDescent="0.2">
      <c r="A44" s="158">
        <f t="shared" si="1"/>
        <v>426</v>
      </c>
      <c r="B44" s="150" t="s">
        <v>376</v>
      </c>
      <c r="C44" s="150" t="s">
        <v>195</v>
      </c>
      <c r="D44" s="150" t="s">
        <v>340</v>
      </c>
      <c r="E44" s="151" t="s">
        <v>431</v>
      </c>
      <c r="F44" s="139">
        <v>34</v>
      </c>
      <c r="G44" s="157">
        <v>34</v>
      </c>
    </row>
    <row r="45" spans="1:7" x14ac:dyDescent="0.2">
      <c r="A45" s="158">
        <f t="shared" si="1"/>
        <v>427</v>
      </c>
      <c r="B45" s="150" t="s">
        <v>376</v>
      </c>
      <c r="C45" s="150" t="s">
        <v>195</v>
      </c>
      <c r="D45" s="150" t="s">
        <v>341</v>
      </c>
      <c r="E45" s="151" t="s">
        <v>432</v>
      </c>
      <c r="F45" s="139">
        <v>58</v>
      </c>
      <c r="G45" s="157">
        <v>58</v>
      </c>
    </row>
    <row r="46" spans="1:7" x14ac:dyDescent="0.2">
      <c r="A46" s="158">
        <f t="shared" si="1"/>
        <v>428</v>
      </c>
      <c r="B46" s="150" t="s">
        <v>376</v>
      </c>
      <c r="C46" s="150" t="s">
        <v>195</v>
      </c>
      <c r="D46" s="150" t="s">
        <v>342</v>
      </c>
      <c r="E46" s="151" t="s">
        <v>433</v>
      </c>
      <c r="F46" s="139">
        <v>302</v>
      </c>
      <c r="G46" s="157">
        <v>302</v>
      </c>
    </row>
    <row r="47" spans="1:7" x14ac:dyDescent="0.2">
      <c r="A47" s="158">
        <f t="shared" si="1"/>
        <v>429</v>
      </c>
      <c r="B47" s="150" t="s">
        <v>376</v>
      </c>
      <c r="C47" s="150" t="s">
        <v>195</v>
      </c>
      <c r="D47" s="150" t="s">
        <v>343</v>
      </c>
      <c r="E47" s="151" t="s">
        <v>434</v>
      </c>
      <c r="F47" s="139">
        <v>324</v>
      </c>
      <c r="G47" s="157">
        <v>301</v>
      </c>
    </row>
    <row r="48" spans="1:7" x14ac:dyDescent="0.2">
      <c r="A48" s="158">
        <f t="shared" si="1"/>
        <v>430</v>
      </c>
      <c r="B48" s="150" t="s">
        <v>376</v>
      </c>
      <c r="C48" s="150" t="s">
        <v>195</v>
      </c>
      <c r="D48" s="150" t="s">
        <v>344</v>
      </c>
      <c r="E48" s="151" t="s">
        <v>435</v>
      </c>
      <c r="F48" s="139">
        <v>13</v>
      </c>
      <c r="G48" s="157">
        <v>13</v>
      </c>
    </row>
    <row r="49" spans="1:7" x14ac:dyDescent="0.2">
      <c r="A49" s="158">
        <f t="shared" si="1"/>
        <v>431</v>
      </c>
      <c r="B49" s="150" t="s">
        <v>376</v>
      </c>
      <c r="C49" s="150" t="s">
        <v>195</v>
      </c>
      <c r="D49" s="150" t="s">
        <v>345</v>
      </c>
      <c r="E49" s="151" t="s">
        <v>436</v>
      </c>
      <c r="F49" s="139">
        <v>64</v>
      </c>
      <c r="G49" s="157">
        <v>-35</v>
      </c>
    </row>
    <row r="50" spans="1:7" x14ac:dyDescent="0.2">
      <c r="A50" s="158">
        <f t="shared" si="1"/>
        <v>432</v>
      </c>
      <c r="B50" s="150" t="s">
        <v>376</v>
      </c>
      <c r="C50" s="150" t="s">
        <v>195</v>
      </c>
      <c r="D50" s="150" t="s">
        <v>346</v>
      </c>
      <c r="E50" s="151" t="s">
        <v>437</v>
      </c>
      <c r="F50" s="139">
        <v>10</v>
      </c>
      <c r="G50" s="157">
        <v>10</v>
      </c>
    </row>
    <row r="51" spans="1:7" x14ac:dyDescent="0.2">
      <c r="A51" s="158">
        <f t="shared" si="1"/>
        <v>433</v>
      </c>
      <c r="B51" s="150" t="s">
        <v>376</v>
      </c>
      <c r="C51" s="150" t="s">
        <v>195</v>
      </c>
      <c r="D51" s="150" t="s">
        <v>347</v>
      </c>
      <c r="E51" s="151" t="s">
        <v>438</v>
      </c>
      <c r="F51" s="139">
        <v>238</v>
      </c>
      <c r="G51" s="157">
        <v>238</v>
      </c>
    </row>
    <row r="52" spans="1:7" x14ac:dyDescent="0.2">
      <c r="A52" s="158">
        <f t="shared" si="1"/>
        <v>440</v>
      </c>
      <c r="B52" s="150" t="s">
        <v>376</v>
      </c>
      <c r="C52" s="150" t="s">
        <v>195</v>
      </c>
      <c r="D52" s="150" t="s">
        <v>348</v>
      </c>
      <c r="E52" s="151" t="s">
        <v>439</v>
      </c>
      <c r="F52" s="139">
        <v>44</v>
      </c>
      <c r="G52" s="157">
        <v>44</v>
      </c>
    </row>
    <row r="53" spans="1:7" x14ac:dyDescent="0.2">
      <c r="A53" s="158">
        <f t="shared" si="1"/>
        <v>441</v>
      </c>
      <c r="B53" s="150" t="s">
        <v>376</v>
      </c>
      <c r="C53" s="150" t="s">
        <v>195</v>
      </c>
      <c r="D53" s="150" t="s">
        <v>349</v>
      </c>
      <c r="E53" s="151" t="s">
        <v>440</v>
      </c>
      <c r="F53" s="139">
        <v>89</v>
      </c>
      <c r="G53" s="157">
        <v>90</v>
      </c>
    </row>
    <row r="54" spans="1:7" x14ac:dyDescent="0.2">
      <c r="A54" s="158">
        <f t="shared" si="1"/>
        <v>444</v>
      </c>
      <c r="B54" s="150" t="s">
        <v>376</v>
      </c>
      <c r="C54" s="150" t="s">
        <v>195</v>
      </c>
      <c r="D54" s="150" t="s">
        <v>350</v>
      </c>
      <c r="E54" s="151" t="s">
        <v>441</v>
      </c>
      <c r="F54" s="139">
        <v>155</v>
      </c>
      <c r="G54" s="157">
        <v>203</v>
      </c>
    </row>
    <row r="55" spans="1:7" x14ac:dyDescent="0.2">
      <c r="A55" s="158">
        <f t="shared" si="1"/>
        <v>445</v>
      </c>
      <c r="B55" s="150" t="s">
        <v>376</v>
      </c>
      <c r="C55" s="150" t="s">
        <v>195</v>
      </c>
      <c r="D55" s="150" t="s">
        <v>351</v>
      </c>
      <c r="E55" s="151" t="s">
        <v>442</v>
      </c>
      <c r="F55" s="139">
        <v>54</v>
      </c>
      <c r="G55" s="157">
        <v>60</v>
      </c>
    </row>
    <row r="56" spans="1:7" x14ac:dyDescent="0.2">
      <c r="A56" s="158">
        <f t="shared" si="1"/>
        <v>452</v>
      </c>
      <c r="B56" s="150" t="s">
        <v>376</v>
      </c>
      <c r="C56" s="150" t="s">
        <v>195</v>
      </c>
      <c r="D56" s="150" t="s">
        <v>352</v>
      </c>
      <c r="E56" s="151" t="s">
        <v>443</v>
      </c>
      <c r="F56" s="139">
        <v>7048</v>
      </c>
      <c r="G56" s="157">
        <v>7034</v>
      </c>
    </row>
    <row r="57" spans="1:7" x14ac:dyDescent="0.2">
      <c r="A57" s="158">
        <f t="shared" si="1"/>
        <v>453</v>
      </c>
      <c r="B57" s="150" t="s">
        <v>376</v>
      </c>
      <c r="C57" s="150" t="s">
        <v>195</v>
      </c>
      <c r="D57" s="150" t="s">
        <v>353</v>
      </c>
      <c r="E57" s="151" t="s">
        <v>446</v>
      </c>
      <c r="F57" s="139">
        <v>11117</v>
      </c>
      <c r="G57" s="157">
        <v>11104</v>
      </c>
    </row>
    <row r="58" spans="1:7" x14ac:dyDescent="0.2">
      <c r="A58" s="158">
        <f t="shared" si="1"/>
        <v>454</v>
      </c>
      <c r="B58" s="150" t="s">
        <v>376</v>
      </c>
      <c r="C58" s="150" t="s">
        <v>195</v>
      </c>
      <c r="D58" s="150" t="s">
        <v>354</v>
      </c>
      <c r="E58" s="151" t="s">
        <v>449</v>
      </c>
      <c r="F58" s="139">
        <v>5408</v>
      </c>
      <c r="G58" s="157">
        <v>5383</v>
      </c>
    </row>
    <row r="59" spans="1:7" x14ac:dyDescent="0.2">
      <c r="A59" s="158">
        <f t="shared" si="1"/>
        <v>455</v>
      </c>
      <c r="B59" s="150" t="s">
        <v>376</v>
      </c>
      <c r="C59" s="150" t="s">
        <v>195</v>
      </c>
      <c r="D59" s="150" t="s">
        <v>355</v>
      </c>
      <c r="E59" s="151" t="s">
        <v>452</v>
      </c>
      <c r="F59" s="139">
        <v>438</v>
      </c>
      <c r="G59" s="157">
        <v>418</v>
      </c>
    </row>
    <row r="60" spans="1:7" x14ac:dyDescent="0.2">
      <c r="A60" s="158">
        <f t="shared" si="1"/>
        <v>456</v>
      </c>
      <c r="B60" s="150" t="s">
        <v>376</v>
      </c>
      <c r="C60" s="150" t="s">
        <v>195</v>
      </c>
      <c r="D60" s="150" t="s">
        <v>356</v>
      </c>
      <c r="E60" s="151" t="s">
        <v>453</v>
      </c>
      <c r="F60" s="139">
        <v>12912</v>
      </c>
      <c r="G60" s="157">
        <v>12802</v>
      </c>
    </row>
    <row r="61" spans="1:7" x14ac:dyDescent="0.2">
      <c r="A61" s="158">
        <f t="shared" si="1"/>
        <v>457</v>
      </c>
      <c r="B61" s="150" t="s">
        <v>376</v>
      </c>
      <c r="C61" s="150" t="s">
        <v>195</v>
      </c>
      <c r="D61" s="150" t="s">
        <v>357</v>
      </c>
      <c r="E61" s="151" t="s">
        <v>456</v>
      </c>
      <c r="F61" s="139">
        <v>3645</v>
      </c>
      <c r="G61" s="157">
        <v>3618</v>
      </c>
    </row>
    <row r="62" spans="1:7" x14ac:dyDescent="0.2">
      <c r="A62" s="158">
        <f t="shared" si="1"/>
        <v>470</v>
      </c>
      <c r="B62" s="150" t="s">
        <v>376</v>
      </c>
      <c r="C62" s="150" t="s">
        <v>195</v>
      </c>
      <c r="D62" s="150" t="s">
        <v>358</v>
      </c>
      <c r="E62" s="151" t="s">
        <v>457</v>
      </c>
      <c r="F62" s="139">
        <v>45</v>
      </c>
      <c r="G62" s="157">
        <v>44</v>
      </c>
    </row>
    <row r="63" spans="1:7" x14ac:dyDescent="0.2">
      <c r="A63" s="158">
        <f t="shared" si="1"/>
        <v>471</v>
      </c>
      <c r="B63" s="150" t="s">
        <v>376</v>
      </c>
      <c r="C63" s="150" t="s">
        <v>195</v>
      </c>
      <c r="D63" s="150" t="s">
        <v>359</v>
      </c>
      <c r="E63" s="151" t="s">
        <v>458</v>
      </c>
      <c r="F63" s="139">
        <v>8</v>
      </c>
      <c r="G63" s="157">
        <v>8</v>
      </c>
    </row>
    <row r="64" spans="1:7" x14ac:dyDescent="0.2">
      <c r="A64" s="158">
        <f t="shared" si="1"/>
        <v>473</v>
      </c>
      <c r="B64" s="150" t="s">
        <v>376</v>
      </c>
      <c r="C64" s="150" t="s">
        <v>195</v>
      </c>
      <c r="D64" s="150" t="s">
        <v>360</v>
      </c>
      <c r="E64" s="151" t="s">
        <v>459</v>
      </c>
      <c r="F64" s="139">
        <v>892</v>
      </c>
      <c r="G64" s="157">
        <v>917</v>
      </c>
    </row>
    <row r="65" spans="1:7" x14ac:dyDescent="0.2">
      <c r="A65" s="158">
        <f t="shared" si="1"/>
        <v>474</v>
      </c>
      <c r="B65" s="150" t="s">
        <v>376</v>
      </c>
      <c r="C65" s="150" t="s">
        <v>195</v>
      </c>
      <c r="D65" s="150" t="s">
        <v>361</v>
      </c>
      <c r="E65" s="151" t="s">
        <v>460</v>
      </c>
      <c r="F65" s="139">
        <v>47</v>
      </c>
      <c r="G65" s="157">
        <v>53</v>
      </c>
    </row>
    <row r="66" spans="1:7" x14ac:dyDescent="0.2">
      <c r="A66" s="158">
        <f t="shared" si="1"/>
        <v>475</v>
      </c>
      <c r="B66" s="160" t="s">
        <v>376</v>
      </c>
      <c r="C66" s="150" t="s">
        <v>195</v>
      </c>
      <c r="D66" s="150" t="s">
        <v>362</v>
      </c>
      <c r="E66" s="151" t="s">
        <v>461</v>
      </c>
      <c r="F66" s="139">
        <v>2</v>
      </c>
      <c r="G66" s="157">
        <v>2</v>
      </c>
    </row>
    <row r="67" spans="1:7" x14ac:dyDescent="0.2">
      <c r="A67" s="158">
        <f t="shared" si="1"/>
        <v>476</v>
      </c>
      <c r="B67" s="154" t="s">
        <v>376</v>
      </c>
      <c r="C67" s="150" t="s">
        <v>195</v>
      </c>
      <c r="D67" s="150" t="s">
        <v>363</v>
      </c>
      <c r="E67" s="151" t="s">
        <v>462</v>
      </c>
      <c r="F67" s="139">
        <v>615</v>
      </c>
      <c r="G67" s="157">
        <v>584</v>
      </c>
    </row>
    <row r="68" spans="1:7" x14ac:dyDescent="0.2">
      <c r="A68" s="158">
        <f t="shared" ref="A68:A87" si="2">IF(RIGHT(D68,2)="CU","N/A",_xlfn.NUMBERVALUE(RIGHT(D68,3)))</f>
        <v>477</v>
      </c>
      <c r="B68" s="154" t="s">
        <v>376</v>
      </c>
      <c r="C68" s="150" t="s">
        <v>195</v>
      </c>
      <c r="D68" s="150" t="s">
        <v>364</v>
      </c>
      <c r="E68" s="151" t="s">
        <v>463</v>
      </c>
      <c r="F68" s="139">
        <v>60</v>
      </c>
      <c r="G68" s="157">
        <v>60</v>
      </c>
    </row>
    <row r="69" spans="1:7" x14ac:dyDescent="0.2">
      <c r="A69" s="158">
        <f t="shared" si="2"/>
        <v>480</v>
      </c>
      <c r="B69" s="154" t="s">
        <v>376</v>
      </c>
      <c r="C69" s="150" t="s">
        <v>195</v>
      </c>
      <c r="D69" s="150" t="s">
        <v>365</v>
      </c>
      <c r="E69" s="151" t="s">
        <v>464</v>
      </c>
      <c r="F69" s="139">
        <v>71</v>
      </c>
      <c r="G69" s="157">
        <v>71</v>
      </c>
    </row>
    <row r="70" spans="1:7" x14ac:dyDescent="0.2">
      <c r="A70" s="158">
        <f t="shared" si="2"/>
        <v>481</v>
      </c>
      <c r="B70" s="154" t="s">
        <v>376</v>
      </c>
      <c r="C70" s="150" t="s">
        <v>195</v>
      </c>
      <c r="D70" s="150" t="s">
        <v>366</v>
      </c>
      <c r="E70" s="151" t="s">
        <v>465</v>
      </c>
      <c r="F70" s="139">
        <v>15</v>
      </c>
      <c r="G70" s="157">
        <v>15</v>
      </c>
    </row>
    <row r="71" spans="1:7" x14ac:dyDescent="0.2">
      <c r="A71" s="158">
        <f t="shared" si="2"/>
        <v>482</v>
      </c>
      <c r="B71" s="154" t="s">
        <v>376</v>
      </c>
      <c r="C71" s="150" t="s">
        <v>195</v>
      </c>
      <c r="D71" s="150" t="s">
        <v>367</v>
      </c>
      <c r="E71" s="151" t="s">
        <v>466</v>
      </c>
      <c r="F71" s="139">
        <v>132</v>
      </c>
      <c r="G71" s="157">
        <v>132</v>
      </c>
    </row>
    <row r="72" spans="1:7" x14ac:dyDescent="0.2">
      <c r="A72" s="158">
        <f t="shared" si="2"/>
        <v>483</v>
      </c>
      <c r="B72" s="154" t="s">
        <v>376</v>
      </c>
      <c r="C72" s="150" t="s">
        <v>195</v>
      </c>
      <c r="D72" s="150" t="s">
        <v>368</v>
      </c>
      <c r="E72" s="151" t="s">
        <v>467</v>
      </c>
      <c r="F72" s="139">
        <v>5</v>
      </c>
      <c r="G72" s="157">
        <v>5</v>
      </c>
    </row>
    <row r="73" spans="1:7" x14ac:dyDescent="0.2">
      <c r="A73" s="158">
        <f t="shared" si="2"/>
        <v>484</v>
      </c>
      <c r="B73" s="154" t="s">
        <v>376</v>
      </c>
      <c r="C73" s="150" t="s">
        <v>195</v>
      </c>
      <c r="D73" s="150" t="s">
        <v>369</v>
      </c>
      <c r="E73" s="151" t="s">
        <v>468</v>
      </c>
      <c r="F73" s="139">
        <v>57</v>
      </c>
      <c r="G73" s="157">
        <v>57</v>
      </c>
    </row>
    <row r="74" spans="1:7" x14ac:dyDescent="0.2">
      <c r="A74" s="158">
        <f t="shared" si="2"/>
        <v>490</v>
      </c>
      <c r="B74" s="154" t="s">
        <v>376</v>
      </c>
      <c r="C74" s="150" t="s">
        <v>195</v>
      </c>
      <c r="D74" s="150" t="s">
        <v>469</v>
      </c>
      <c r="E74" s="151" t="s">
        <v>470</v>
      </c>
      <c r="F74" s="139">
        <v>3</v>
      </c>
      <c r="G74" s="157">
        <v>5</v>
      </c>
    </row>
    <row r="75" spans="1:7" x14ac:dyDescent="0.2">
      <c r="A75" s="158">
        <f t="shared" si="2"/>
        <v>491</v>
      </c>
      <c r="B75" s="154" t="s">
        <v>376</v>
      </c>
      <c r="C75" s="150" t="s">
        <v>195</v>
      </c>
      <c r="D75" s="150" t="s">
        <v>471</v>
      </c>
      <c r="E75" s="151" t="s">
        <v>472</v>
      </c>
      <c r="F75" s="139">
        <v>5</v>
      </c>
      <c r="G75" s="157">
        <v>8</v>
      </c>
    </row>
    <row r="76" spans="1:7" x14ac:dyDescent="0.2">
      <c r="A76" s="158">
        <f t="shared" si="2"/>
        <v>493</v>
      </c>
      <c r="B76" s="155" t="s">
        <v>376</v>
      </c>
      <c r="C76" s="150" t="s">
        <v>195</v>
      </c>
      <c r="D76" s="150" t="s">
        <v>473</v>
      </c>
      <c r="E76" s="151" t="s">
        <v>474</v>
      </c>
      <c r="F76" s="139">
        <v>11</v>
      </c>
      <c r="G76" s="157">
        <v>22</v>
      </c>
    </row>
    <row r="77" spans="1:7" x14ac:dyDescent="0.2">
      <c r="A77" s="158">
        <f t="shared" si="2"/>
        <v>825</v>
      </c>
      <c r="B77" s="150" t="s">
        <v>376</v>
      </c>
      <c r="C77" s="150" t="s">
        <v>195</v>
      </c>
      <c r="D77" s="150" t="s">
        <v>377</v>
      </c>
      <c r="E77" s="151" t="s">
        <v>378</v>
      </c>
      <c r="F77" s="157">
        <v>0</v>
      </c>
    </row>
    <row r="78" spans="1:7" x14ac:dyDescent="0.2">
      <c r="A78" s="158">
        <f t="shared" si="2"/>
        <v>826</v>
      </c>
      <c r="B78" s="150" t="s">
        <v>376</v>
      </c>
      <c r="C78" s="150" t="s">
        <v>195</v>
      </c>
      <c r="D78" s="150" t="s">
        <v>379</v>
      </c>
      <c r="E78" s="151" t="s">
        <v>380</v>
      </c>
      <c r="F78" s="157">
        <v>0</v>
      </c>
    </row>
    <row r="79" spans="1:7" x14ac:dyDescent="0.2">
      <c r="A79" s="158">
        <f t="shared" si="2"/>
        <v>828</v>
      </c>
      <c r="B79" s="150" t="s">
        <v>376</v>
      </c>
      <c r="C79" s="150" t="s">
        <v>195</v>
      </c>
      <c r="D79" s="150" t="s">
        <v>381</v>
      </c>
      <c r="E79" s="151" t="s">
        <v>382</v>
      </c>
      <c r="F79" s="157">
        <v>0</v>
      </c>
    </row>
    <row r="80" spans="1:7" x14ac:dyDescent="0.2">
      <c r="A80" s="158">
        <f t="shared" si="2"/>
        <v>829</v>
      </c>
      <c r="B80" s="150" t="s">
        <v>376</v>
      </c>
      <c r="C80" s="150" t="s">
        <v>195</v>
      </c>
      <c r="D80" s="150" t="s">
        <v>383</v>
      </c>
      <c r="E80" s="151" t="s">
        <v>384</v>
      </c>
      <c r="F80" s="157">
        <v>0</v>
      </c>
    </row>
    <row r="81" spans="1:6" x14ac:dyDescent="0.2">
      <c r="A81" s="158">
        <f t="shared" si="2"/>
        <v>863</v>
      </c>
      <c r="B81" s="150" t="s">
        <v>376</v>
      </c>
      <c r="C81" s="150" t="s">
        <v>195</v>
      </c>
      <c r="D81" s="150" t="s">
        <v>385</v>
      </c>
      <c r="E81" s="151" t="s">
        <v>386</v>
      </c>
      <c r="F81" s="157">
        <v>0</v>
      </c>
    </row>
    <row r="82" spans="1:6" x14ac:dyDescent="0.2">
      <c r="A82" s="158" t="str">
        <f t="shared" si="2"/>
        <v>N/A</v>
      </c>
      <c r="B82" s="150" t="s">
        <v>376</v>
      </c>
      <c r="C82" s="150" t="s">
        <v>195</v>
      </c>
      <c r="D82" s="150" t="s">
        <v>390</v>
      </c>
      <c r="E82" s="151" t="s">
        <v>391</v>
      </c>
      <c r="F82" s="157">
        <v>0</v>
      </c>
    </row>
    <row r="83" spans="1:6" x14ac:dyDescent="0.2">
      <c r="A83" s="158" t="str">
        <f t="shared" si="2"/>
        <v>N/A</v>
      </c>
      <c r="B83" s="150" t="s">
        <v>376</v>
      </c>
      <c r="C83" s="150" t="s">
        <v>195</v>
      </c>
      <c r="D83" s="150" t="s">
        <v>396</v>
      </c>
      <c r="E83" s="151" t="s">
        <v>397</v>
      </c>
      <c r="F83" s="157">
        <v>0</v>
      </c>
    </row>
    <row r="84" spans="1:6" x14ac:dyDescent="0.2">
      <c r="A84" s="158" t="str">
        <f t="shared" si="2"/>
        <v>N/A</v>
      </c>
      <c r="B84" s="150" t="s">
        <v>376</v>
      </c>
      <c r="C84" s="150" t="s">
        <v>195</v>
      </c>
      <c r="D84" s="150" t="s">
        <v>444</v>
      </c>
      <c r="E84" s="151" t="s">
        <v>445</v>
      </c>
      <c r="F84" s="157">
        <v>0</v>
      </c>
    </row>
    <row r="85" spans="1:6" x14ac:dyDescent="0.2">
      <c r="A85" s="158" t="str">
        <f t="shared" si="2"/>
        <v>N/A</v>
      </c>
      <c r="B85" s="150" t="s">
        <v>376</v>
      </c>
      <c r="C85" s="150" t="s">
        <v>195</v>
      </c>
      <c r="D85" s="150" t="s">
        <v>447</v>
      </c>
      <c r="E85" s="151" t="s">
        <v>448</v>
      </c>
      <c r="F85" s="157">
        <v>0</v>
      </c>
    </row>
    <row r="86" spans="1:6" x14ac:dyDescent="0.2">
      <c r="A86" s="158" t="str">
        <f t="shared" si="2"/>
        <v>N/A</v>
      </c>
      <c r="B86" s="150" t="s">
        <v>376</v>
      </c>
      <c r="C86" s="150" t="s">
        <v>195</v>
      </c>
      <c r="D86" s="150" t="s">
        <v>450</v>
      </c>
      <c r="E86" s="151" t="s">
        <v>451</v>
      </c>
      <c r="F86" s="157">
        <v>0</v>
      </c>
    </row>
    <row r="87" spans="1:6" x14ac:dyDescent="0.2">
      <c r="A87" s="158" t="str">
        <f t="shared" si="2"/>
        <v>N/A</v>
      </c>
      <c r="B87" s="150" t="s">
        <v>376</v>
      </c>
      <c r="C87" s="150" t="s">
        <v>195</v>
      </c>
      <c r="D87" s="150" t="s">
        <v>454</v>
      </c>
      <c r="E87" s="151" t="s">
        <v>455</v>
      </c>
      <c r="F87" s="157">
        <v>0</v>
      </c>
    </row>
  </sheetData>
  <sortState ref="A4:F87">
    <sortCondition ref="A4"/>
  </sortState>
  <pageMargins left="1" right="1" top="1" bottom="1.75" header="0.5" footer="0.5"/>
  <pageSetup scale="92" fitToHeight="0" orientation="landscape" r:id="rId1"/>
  <headerFooter scaleWithDoc="0">
    <oddFooter xml:space="preserve">&amp;R&amp;"Times New Roman,Bold"&amp;12 Case No. 2018-00295
Attachment to Response to PSC-2 Question No. 29a-b
Page &amp;P of &amp;N
Seelye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zoomScale="80" zoomScaleNormal="80" workbookViewId="0"/>
  </sheetViews>
  <sheetFormatPr defaultRowHeight="15" x14ac:dyDescent="0.25"/>
  <cols>
    <col min="1" max="1" width="11.85546875" customWidth="1"/>
    <col min="2" max="2" width="67.7109375" bestFit="1" customWidth="1"/>
    <col min="3" max="3" width="24.140625" style="11" bestFit="1" customWidth="1"/>
    <col min="4" max="4" width="13" style="11" customWidth="1"/>
    <col min="5" max="5" width="14.140625" bestFit="1" customWidth="1"/>
  </cols>
  <sheetData>
    <row r="1" spans="1:10" x14ac:dyDescent="0.25">
      <c r="A1" t="s">
        <v>89</v>
      </c>
      <c r="B1" t="s">
        <v>90</v>
      </c>
      <c r="C1" s="14" t="s">
        <v>91</v>
      </c>
      <c r="D1" s="15" t="s">
        <v>92</v>
      </c>
    </row>
    <row r="2" spans="1:10" x14ac:dyDescent="0.25">
      <c r="A2" t="s">
        <v>10</v>
      </c>
      <c r="B2" t="s">
        <v>93</v>
      </c>
      <c r="D2" s="300">
        <v>143</v>
      </c>
    </row>
    <row r="3" spans="1:10" x14ac:dyDescent="0.25">
      <c r="A3" t="s">
        <v>10</v>
      </c>
      <c r="B3" t="s">
        <v>94</v>
      </c>
      <c r="C3" s="11">
        <v>3024532</v>
      </c>
      <c r="D3" s="300">
        <v>148.5</v>
      </c>
    </row>
    <row r="4" spans="1:10" x14ac:dyDescent="0.25">
      <c r="A4" t="s">
        <v>10</v>
      </c>
      <c r="B4" t="s">
        <v>95</v>
      </c>
      <c r="C4" s="11">
        <v>3024534</v>
      </c>
      <c r="D4" s="300">
        <v>203.50000000000003</v>
      </c>
    </row>
    <row r="5" spans="1:10" x14ac:dyDescent="0.25">
      <c r="A5" t="s">
        <v>96</v>
      </c>
      <c r="B5" t="s">
        <v>97</v>
      </c>
      <c r="C5" s="11">
        <v>3024533</v>
      </c>
      <c r="D5" s="300">
        <v>302.5</v>
      </c>
    </row>
    <row r="6" spans="1:10" x14ac:dyDescent="0.25">
      <c r="A6" t="s">
        <v>10</v>
      </c>
      <c r="B6" t="s">
        <v>98</v>
      </c>
      <c r="D6" s="300">
        <v>427.90000000000003</v>
      </c>
    </row>
    <row r="7" spans="1:10" x14ac:dyDescent="0.25">
      <c r="A7" t="s">
        <v>99</v>
      </c>
      <c r="B7" t="s">
        <v>100</v>
      </c>
      <c r="C7" s="11">
        <v>3024332</v>
      </c>
      <c r="D7" s="300">
        <v>330</v>
      </c>
    </row>
    <row r="8" spans="1:10" x14ac:dyDescent="0.25">
      <c r="A8" t="s">
        <v>10</v>
      </c>
      <c r="B8" t="s">
        <v>101</v>
      </c>
      <c r="C8" s="11">
        <v>3024334</v>
      </c>
      <c r="D8" s="300">
        <v>125.4</v>
      </c>
    </row>
    <row r="9" spans="1:10" x14ac:dyDescent="0.25">
      <c r="A9" t="s">
        <v>10</v>
      </c>
      <c r="B9" t="s">
        <v>102</v>
      </c>
      <c r="D9" s="300">
        <v>275</v>
      </c>
    </row>
    <row r="10" spans="1:10" x14ac:dyDescent="0.25">
      <c r="A10" t="s">
        <v>10</v>
      </c>
      <c r="B10" t="s">
        <v>103</v>
      </c>
      <c r="D10" s="300">
        <v>275</v>
      </c>
    </row>
    <row r="11" spans="1:10" x14ac:dyDescent="0.25">
      <c r="A11" t="s">
        <v>10</v>
      </c>
      <c r="B11" t="s">
        <v>104</v>
      </c>
      <c r="D11" s="300">
        <v>302.5</v>
      </c>
    </row>
    <row r="12" spans="1:10" x14ac:dyDescent="0.25">
      <c r="A12" t="s">
        <v>10</v>
      </c>
      <c r="B12" t="s">
        <v>105</v>
      </c>
      <c r="D12" s="300">
        <v>302.5</v>
      </c>
    </row>
    <row r="13" spans="1:10" x14ac:dyDescent="0.25">
      <c r="A13" t="s">
        <v>10</v>
      </c>
      <c r="B13" t="s">
        <v>106</v>
      </c>
      <c r="D13" s="300">
        <v>328.90000000000003</v>
      </c>
      <c r="J13" s="341"/>
    </row>
    <row r="14" spans="1:10" x14ac:dyDescent="0.25">
      <c r="A14" t="s">
        <v>10</v>
      </c>
      <c r="B14" t="s">
        <v>107</v>
      </c>
      <c r="D14" s="300">
        <v>328.90000000000003</v>
      </c>
    </row>
    <row r="15" spans="1:10" x14ac:dyDescent="0.25">
      <c r="A15" t="s">
        <v>10</v>
      </c>
      <c r="B15" t="s">
        <v>108</v>
      </c>
      <c r="D15" s="300">
        <v>495.00000000000006</v>
      </c>
    </row>
    <row r="16" spans="1:10" x14ac:dyDescent="0.25">
      <c r="A16" t="s">
        <v>10</v>
      </c>
      <c r="B16" t="s">
        <v>109</v>
      </c>
      <c r="D16" s="300">
        <v>495.00000000000006</v>
      </c>
    </row>
    <row r="17" spans="1:5" x14ac:dyDescent="0.25">
      <c r="A17" t="s">
        <v>10</v>
      </c>
      <c r="B17" t="s">
        <v>110</v>
      </c>
      <c r="D17" s="300">
        <v>715.00000000000011</v>
      </c>
    </row>
    <row r="18" spans="1:5" x14ac:dyDescent="0.25">
      <c r="A18" t="s">
        <v>10</v>
      </c>
      <c r="B18" t="s">
        <v>111</v>
      </c>
      <c r="D18" s="300">
        <v>715.00000000000011</v>
      </c>
    </row>
    <row r="19" spans="1:5" x14ac:dyDescent="0.25">
      <c r="A19" t="s">
        <v>10</v>
      </c>
      <c r="B19" t="s">
        <v>112</v>
      </c>
      <c r="D19" s="300">
        <v>363.00000000000006</v>
      </c>
    </row>
    <row r="20" spans="1:5" x14ac:dyDescent="0.25">
      <c r="A20" t="s">
        <v>96</v>
      </c>
      <c r="B20" t="s">
        <v>113</v>
      </c>
      <c r="D20" s="300">
        <v>379.50000000000006</v>
      </c>
    </row>
    <row r="21" spans="1:5" x14ac:dyDescent="0.25">
      <c r="A21" t="s">
        <v>10</v>
      </c>
      <c r="B21" t="s">
        <v>114</v>
      </c>
      <c r="D21" s="300">
        <v>412.50000000000006</v>
      </c>
    </row>
    <row r="22" spans="1:5" x14ac:dyDescent="0.25">
      <c r="A22" t="s">
        <v>10</v>
      </c>
      <c r="B22" t="s">
        <v>115</v>
      </c>
      <c r="D22" s="300">
        <v>660</v>
      </c>
    </row>
    <row r="23" spans="1:5" x14ac:dyDescent="0.25">
      <c r="A23" t="s">
        <v>11</v>
      </c>
      <c r="B23" t="s">
        <v>116</v>
      </c>
      <c r="C23" s="11">
        <v>3024531</v>
      </c>
      <c r="D23" s="300">
        <v>14.98</v>
      </c>
    </row>
    <row r="24" spans="1:5" x14ac:dyDescent="0.25">
      <c r="A24" t="s">
        <v>141</v>
      </c>
      <c r="B24" t="s">
        <v>182</v>
      </c>
      <c r="D24" s="300">
        <v>75</v>
      </c>
    </row>
    <row r="25" spans="1:5" x14ac:dyDescent="0.25">
      <c r="A25" t="s">
        <v>141</v>
      </c>
      <c r="B25" t="s">
        <v>183</v>
      </c>
      <c r="D25" s="300">
        <v>314</v>
      </c>
    </row>
    <row r="26" spans="1:5" x14ac:dyDescent="0.25">
      <c r="A26" t="s">
        <v>144</v>
      </c>
      <c r="B26" t="s">
        <v>145</v>
      </c>
      <c r="D26" s="300">
        <v>0.55000000000000004</v>
      </c>
    </row>
    <row r="27" spans="1:5" x14ac:dyDescent="0.25">
      <c r="A27" t="s">
        <v>144</v>
      </c>
      <c r="B27" t="s">
        <v>146</v>
      </c>
      <c r="D27" s="300">
        <v>0.41</v>
      </c>
    </row>
    <row r="28" spans="1:5" x14ac:dyDescent="0.25">
      <c r="A28" t="s">
        <v>144</v>
      </c>
      <c r="B28" t="s">
        <v>147</v>
      </c>
      <c r="C28" s="11">
        <v>7006687</v>
      </c>
      <c r="D28" s="300">
        <v>0.32</v>
      </c>
    </row>
    <row r="29" spans="1:5" x14ac:dyDescent="0.25">
      <c r="A29" t="s">
        <v>167</v>
      </c>
      <c r="B29" t="s">
        <v>168</v>
      </c>
      <c r="C29" s="299"/>
      <c r="D29" s="301">
        <v>0.18395</v>
      </c>
    </row>
    <row r="30" spans="1:5" x14ac:dyDescent="0.25">
      <c r="A30" t="s">
        <v>8</v>
      </c>
      <c r="B30" t="s">
        <v>169</v>
      </c>
      <c r="D30" s="300">
        <v>92.68</v>
      </c>
      <c r="E30" s="8">
        <f>D30+(D30*D31)</f>
        <v>101.387286</v>
      </c>
    </row>
    <row r="31" spans="1:5" x14ac:dyDescent="0.25">
      <c r="A31" t="s">
        <v>170</v>
      </c>
      <c r="B31" t="s">
        <v>171</v>
      </c>
      <c r="D31" s="301">
        <v>9.3950000000000006E-2</v>
      </c>
    </row>
    <row r="32" spans="1:5" x14ac:dyDescent="0.25">
      <c r="A32" t="s">
        <v>8</v>
      </c>
      <c r="B32" t="s">
        <v>172</v>
      </c>
      <c r="D32" s="300">
        <v>0.44</v>
      </c>
    </row>
    <row r="33" spans="1:4" x14ac:dyDescent="0.25">
      <c r="A33" t="s">
        <v>8</v>
      </c>
      <c r="B33" t="s">
        <v>173</v>
      </c>
      <c r="D33" s="300">
        <v>0.96</v>
      </c>
    </row>
    <row r="34" spans="1:4" x14ac:dyDescent="0.25">
      <c r="A34" t="s">
        <v>8</v>
      </c>
      <c r="B34" t="s">
        <v>174</v>
      </c>
      <c r="D34" s="300">
        <v>23.57</v>
      </c>
    </row>
    <row r="35" spans="1:4" x14ac:dyDescent="0.25">
      <c r="A35" t="s">
        <v>8</v>
      </c>
      <c r="B35" t="s">
        <v>175</v>
      </c>
      <c r="D35" s="300">
        <v>35.64</v>
      </c>
    </row>
    <row r="36" spans="1:4" x14ac:dyDescent="0.25">
      <c r="A36" t="s">
        <v>8</v>
      </c>
      <c r="B36" t="s">
        <v>176</v>
      </c>
      <c r="D36" s="300">
        <v>157.93</v>
      </c>
    </row>
    <row r="37" spans="1:4" x14ac:dyDescent="0.25">
      <c r="A37" t="s">
        <v>170</v>
      </c>
      <c r="B37" t="s">
        <v>177</v>
      </c>
      <c r="D37" s="300">
        <v>142.59</v>
      </c>
    </row>
    <row r="38" spans="1:4" x14ac:dyDescent="0.25">
      <c r="A38" t="s">
        <v>8</v>
      </c>
      <c r="B38" t="s">
        <v>178</v>
      </c>
      <c r="D38" s="300">
        <v>86.76</v>
      </c>
    </row>
    <row r="39" spans="1:4" x14ac:dyDescent="0.25">
      <c r="A39" t="s">
        <v>8</v>
      </c>
      <c r="B39" t="s">
        <v>179</v>
      </c>
      <c r="D39" s="300">
        <v>114.21</v>
      </c>
    </row>
    <row r="40" spans="1:4" x14ac:dyDescent="0.25">
      <c r="A40" t="s">
        <v>8</v>
      </c>
      <c r="B40" t="s">
        <v>185</v>
      </c>
      <c r="D40" s="300">
        <v>428.95</v>
      </c>
    </row>
    <row r="41" spans="1:4" x14ac:dyDescent="0.25">
      <c r="A41" t="s">
        <v>8</v>
      </c>
      <c r="B41" t="s">
        <v>186</v>
      </c>
      <c r="D41" s="300">
        <v>702</v>
      </c>
    </row>
    <row r="42" spans="1:4" x14ac:dyDescent="0.25">
      <c r="A42" t="s">
        <v>8</v>
      </c>
      <c r="B42" t="s">
        <v>187</v>
      </c>
      <c r="D42" s="300">
        <v>106.94</v>
      </c>
    </row>
    <row r="43" spans="1:4" x14ac:dyDescent="0.25">
      <c r="A43" t="s">
        <v>8</v>
      </c>
      <c r="B43" t="s">
        <v>188</v>
      </c>
      <c r="D43" s="300">
        <v>157.75</v>
      </c>
    </row>
    <row r="44" spans="1:4" x14ac:dyDescent="0.25">
      <c r="A44" t="s">
        <v>8</v>
      </c>
      <c r="B44" t="s">
        <v>189</v>
      </c>
      <c r="D44" s="300">
        <v>554.67999999999995</v>
      </c>
    </row>
    <row r="45" spans="1:4" x14ac:dyDescent="0.25">
      <c r="A45" t="s">
        <v>8</v>
      </c>
      <c r="B45" t="s">
        <v>234</v>
      </c>
      <c r="D45" s="300">
        <v>80.63</v>
      </c>
    </row>
  </sheetData>
  <pageMargins left="1" right="1" top="1" bottom="1.75" header="0.5" footer="0.5"/>
  <pageSetup scale="87" fitToHeight="0" orientation="landscape" r:id="rId1"/>
  <headerFooter scaleWithDoc="0">
    <oddFooter xml:space="preserve">&amp;R&amp;"Times New Roman,Bold"&amp;12 Case No. 2018-00295
Attachment to Response to PSC-2 Question No. 29a-b
Page &amp;P of &amp;N
Seelye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zoomScaleNormal="100" workbookViewId="0"/>
  </sheetViews>
  <sheetFormatPr defaultRowHeight="15" x14ac:dyDescent="0.25"/>
  <cols>
    <col min="1" max="1" width="10" style="23" bestFit="1" customWidth="1"/>
    <col min="2" max="2" width="45.42578125" style="302" customWidth="1"/>
    <col min="3" max="3" width="16" style="311" bestFit="1" customWidth="1"/>
    <col min="4" max="4" width="11.7109375" style="302" bestFit="1" customWidth="1"/>
    <col min="5" max="5" width="9.140625" style="23" customWidth="1"/>
    <col min="6" max="9" width="9.140625" style="23"/>
    <col min="10" max="10" width="12.7109375" style="21" customWidth="1"/>
    <col min="11" max="11" width="11.85546875" customWidth="1"/>
    <col min="13" max="13" width="10.7109375" bestFit="1" customWidth="1"/>
  </cols>
  <sheetData>
    <row r="1" spans="1:13" x14ac:dyDescent="0.25">
      <c r="A1" s="303"/>
      <c r="B1" s="304"/>
      <c r="C1" s="305"/>
      <c r="D1" s="304"/>
      <c r="E1" s="335" t="s">
        <v>195</v>
      </c>
      <c r="F1" s="336"/>
      <c r="G1" s="336"/>
      <c r="H1" s="336"/>
      <c r="I1" s="337"/>
      <c r="J1" s="20"/>
    </row>
    <row r="2" spans="1:13" x14ac:dyDescent="0.25">
      <c r="A2" s="303" t="s">
        <v>89</v>
      </c>
      <c r="B2" s="304" t="s">
        <v>90</v>
      </c>
      <c r="C2" s="306" t="s">
        <v>91</v>
      </c>
      <c r="D2" s="307" t="s">
        <v>92</v>
      </c>
      <c r="E2" s="308">
        <v>2017</v>
      </c>
      <c r="F2" s="308">
        <v>2016</v>
      </c>
      <c r="G2" s="308">
        <v>2015</v>
      </c>
      <c r="H2" s="308">
        <v>2014</v>
      </c>
      <c r="I2" s="308">
        <v>2013</v>
      </c>
      <c r="J2" s="20"/>
    </row>
    <row r="3" spans="1:13" x14ac:dyDescent="0.25">
      <c r="A3" s="23" t="s">
        <v>135</v>
      </c>
      <c r="B3" s="302" t="s">
        <v>136</v>
      </c>
      <c r="C3" s="27">
        <v>1192527</v>
      </c>
      <c r="D3" s="28">
        <v>207.99</v>
      </c>
      <c r="E3" s="24"/>
      <c r="F3" s="24"/>
      <c r="G3" s="24"/>
      <c r="H3" s="24"/>
      <c r="I3" s="24"/>
    </row>
    <row r="4" spans="1:13" x14ac:dyDescent="0.25">
      <c r="A4" s="23" t="s">
        <v>135</v>
      </c>
      <c r="B4" s="302" t="s">
        <v>137</v>
      </c>
      <c r="C4" s="27">
        <v>3011389</v>
      </c>
      <c r="D4" s="28">
        <v>240.55</v>
      </c>
      <c r="E4" s="24">
        <v>22</v>
      </c>
      <c r="F4" s="24">
        <v>34</v>
      </c>
      <c r="G4" s="24">
        <v>32</v>
      </c>
      <c r="H4" s="24">
        <v>17</v>
      </c>
      <c r="I4" s="24">
        <v>12</v>
      </c>
    </row>
    <row r="5" spans="1:13" x14ac:dyDescent="0.25">
      <c r="A5" s="23" t="s">
        <v>135</v>
      </c>
      <c r="B5" s="302" t="s">
        <v>138</v>
      </c>
      <c r="C5" s="27">
        <v>3011391</v>
      </c>
      <c r="D5" s="28">
        <v>476.2</v>
      </c>
      <c r="E5" s="24">
        <v>0</v>
      </c>
      <c r="F5" s="24">
        <v>28</v>
      </c>
      <c r="G5" s="24">
        <v>9</v>
      </c>
      <c r="H5" s="24">
        <v>5</v>
      </c>
      <c r="I5" s="24">
        <v>5</v>
      </c>
    </row>
    <row r="6" spans="1:13" x14ac:dyDescent="0.25">
      <c r="A6" s="302" t="s">
        <v>144</v>
      </c>
      <c r="B6" s="302" t="s">
        <v>214</v>
      </c>
      <c r="C6" s="27">
        <v>7000671</v>
      </c>
      <c r="D6" s="28"/>
      <c r="E6" s="24"/>
      <c r="F6" s="24"/>
      <c r="G6" s="24"/>
      <c r="H6" s="24"/>
      <c r="I6" s="24"/>
    </row>
    <row r="7" spans="1:13" x14ac:dyDescent="0.25">
      <c r="A7" s="302" t="s">
        <v>144</v>
      </c>
      <c r="B7" s="302" t="s">
        <v>215</v>
      </c>
      <c r="C7" s="27">
        <v>7006327</v>
      </c>
      <c r="D7" s="28">
        <v>0.32</v>
      </c>
      <c r="E7" s="24"/>
      <c r="F7" s="24"/>
      <c r="G7" s="24"/>
      <c r="H7" s="24"/>
      <c r="I7" s="24"/>
    </row>
    <row r="8" spans="1:13" x14ac:dyDescent="0.25">
      <c r="A8" s="302" t="s">
        <v>144</v>
      </c>
      <c r="B8" s="302" t="s">
        <v>216</v>
      </c>
      <c r="C8" s="27">
        <v>7006687</v>
      </c>
      <c r="E8" s="24"/>
      <c r="F8" s="24"/>
      <c r="G8" s="24"/>
      <c r="H8" s="24"/>
      <c r="I8" s="24"/>
    </row>
    <row r="9" spans="1:13" x14ac:dyDescent="0.25">
      <c r="A9" s="302" t="s">
        <v>144</v>
      </c>
      <c r="B9" s="302" t="s">
        <v>217</v>
      </c>
      <c r="C9" s="27">
        <v>7000674</v>
      </c>
      <c r="D9" s="28"/>
      <c r="E9" s="24"/>
      <c r="F9" s="24"/>
      <c r="G9" s="24"/>
      <c r="H9" s="24"/>
      <c r="I9" s="24"/>
    </row>
    <row r="10" spans="1:13" x14ac:dyDescent="0.25">
      <c r="A10" s="302" t="s">
        <v>134</v>
      </c>
      <c r="B10" s="302" t="s">
        <v>211</v>
      </c>
      <c r="C10" s="27">
        <v>1160486</v>
      </c>
      <c r="D10" s="28">
        <v>7.72</v>
      </c>
      <c r="E10" s="24">
        <v>936</v>
      </c>
      <c r="F10" s="24">
        <v>1533</v>
      </c>
      <c r="G10" s="24">
        <v>1255</v>
      </c>
      <c r="H10" s="24">
        <v>1123</v>
      </c>
      <c r="I10" s="24">
        <v>1383</v>
      </c>
    </row>
    <row r="11" spans="1:13" x14ac:dyDescent="0.25">
      <c r="A11" s="302" t="s">
        <v>134</v>
      </c>
      <c r="B11" s="302" t="s">
        <v>212</v>
      </c>
      <c r="C11" s="27">
        <v>1177051</v>
      </c>
      <c r="D11" s="28">
        <v>22.13</v>
      </c>
      <c r="E11" s="24">
        <v>726</v>
      </c>
      <c r="F11" s="24">
        <v>793</v>
      </c>
      <c r="G11" s="24">
        <v>830</v>
      </c>
      <c r="H11" s="24">
        <v>580</v>
      </c>
      <c r="I11" s="24">
        <v>738</v>
      </c>
    </row>
    <row r="12" spans="1:13" x14ac:dyDescent="0.25">
      <c r="A12" s="302" t="s">
        <v>134</v>
      </c>
      <c r="B12" s="302" t="s">
        <v>213</v>
      </c>
      <c r="C12" s="27">
        <v>3000397</v>
      </c>
      <c r="D12" s="28">
        <v>2.4500000000000002</v>
      </c>
      <c r="E12" s="24">
        <v>802</v>
      </c>
      <c r="F12" s="24">
        <v>906</v>
      </c>
      <c r="G12" s="24">
        <v>717</v>
      </c>
      <c r="H12" s="24">
        <v>504</v>
      </c>
      <c r="I12" s="24">
        <v>387</v>
      </c>
    </row>
    <row r="13" spans="1:13" x14ac:dyDescent="0.25">
      <c r="A13" s="302" t="s">
        <v>139</v>
      </c>
      <c r="B13" s="302" t="s">
        <v>140</v>
      </c>
      <c r="C13" s="27">
        <v>7000888</v>
      </c>
      <c r="D13" s="28">
        <v>9.59</v>
      </c>
      <c r="E13" s="24"/>
      <c r="F13" s="24"/>
      <c r="G13" s="24"/>
      <c r="H13" s="24"/>
      <c r="I13" s="24"/>
      <c r="J13" s="342" t="s">
        <v>232</v>
      </c>
    </row>
    <row r="14" spans="1:13" x14ac:dyDescent="0.25">
      <c r="A14" s="302" t="s">
        <v>139</v>
      </c>
      <c r="B14" s="302" t="s">
        <v>61</v>
      </c>
      <c r="C14" s="27">
        <v>7000887</v>
      </c>
      <c r="D14" s="28">
        <v>1.55</v>
      </c>
      <c r="E14" s="24"/>
      <c r="F14" s="24"/>
      <c r="G14" s="24"/>
      <c r="H14" s="24"/>
      <c r="I14" s="24"/>
      <c r="J14" s="21">
        <v>89466</v>
      </c>
      <c r="K14" s="40"/>
      <c r="L14" s="41"/>
      <c r="M14" s="8"/>
    </row>
    <row r="15" spans="1:13" x14ac:dyDescent="0.25">
      <c r="A15" s="23" t="s">
        <v>150</v>
      </c>
      <c r="B15" s="302" t="s">
        <v>151</v>
      </c>
      <c r="C15" s="30" t="s">
        <v>209</v>
      </c>
      <c r="D15" s="28">
        <v>34.06</v>
      </c>
      <c r="E15" s="24">
        <v>0</v>
      </c>
      <c r="F15" s="24">
        <v>0</v>
      </c>
      <c r="G15" s="24">
        <v>44</v>
      </c>
      <c r="H15" s="24">
        <v>66</v>
      </c>
      <c r="I15" s="24">
        <v>27</v>
      </c>
      <c r="K15" s="40"/>
      <c r="M15" s="8"/>
    </row>
    <row r="16" spans="1:13" x14ac:dyDescent="0.25">
      <c r="A16" s="23" t="s">
        <v>150</v>
      </c>
      <c r="B16" s="302" t="s">
        <v>152</v>
      </c>
      <c r="C16" s="309">
        <v>1186386</v>
      </c>
      <c r="D16" s="28">
        <v>6.85</v>
      </c>
      <c r="E16" s="24">
        <v>5148</v>
      </c>
      <c r="F16" s="24">
        <v>5509</v>
      </c>
      <c r="G16" s="24">
        <v>5812</v>
      </c>
      <c r="H16" s="24">
        <v>5280</v>
      </c>
      <c r="I16" s="24">
        <v>5184</v>
      </c>
      <c r="K16" s="40"/>
      <c r="M16" s="8"/>
    </row>
    <row r="17" spans="1:13" x14ac:dyDescent="0.25">
      <c r="A17" s="23" t="s">
        <v>150</v>
      </c>
      <c r="B17" s="302" t="s">
        <v>152</v>
      </c>
      <c r="C17" s="309">
        <v>7001345</v>
      </c>
      <c r="D17" s="28">
        <v>6.85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K17" s="40"/>
      <c r="M17" s="8"/>
    </row>
    <row r="18" spans="1:13" x14ac:dyDescent="0.25">
      <c r="A18" s="23" t="s">
        <v>150</v>
      </c>
      <c r="B18" s="302" t="s">
        <v>153</v>
      </c>
      <c r="C18" s="309">
        <v>1186394</v>
      </c>
      <c r="D18" s="28">
        <v>8.23</v>
      </c>
      <c r="E18" s="24">
        <v>1481</v>
      </c>
      <c r="F18" s="24">
        <v>1909</v>
      </c>
      <c r="G18" s="24">
        <v>1666</v>
      </c>
      <c r="H18" s="24">
        <v>1878</v>
      </c>
      <c r="I18" s="24">
        <v>1569</v>
      </c>
      <c r="K18" s="40"/>
      <c r="M18" s="8"/>
    </row>
    <row r="19" spans="1:13" x14ac:dyDescent="0.25">
      <c r="A19" s="23" t="s">
        <v>150</v>
      </c>
      <c r="B19" s="302" t="s">
        <v>154</v>
      </c>
      <c r="C19" s="309">
        <v>7001346</v>
      </c>
      <c r="D19" s="28">
        <v>8.23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K19" s="40"/>
      <c r="M19" s="8"/>
    </row>
    <row r="20" spans="1:13" x14ac:dyDescent="0.25">
      <c r="A20" s="23" t="s">
        <v>150</v>
      </c>
      <c r="B20" s="302" t="s">
        <v>155</v>
      </c>
      <c r="C20" s="309">
        <v>1186401</v>
      </c>
      <c r="D20" s="28">
        <v>7.34</v>
      </c>
      <c r="E20" s="24">
        <v>2550</v>
      </c>
      <c r="F20" s="24">
        <v>3359</v>
      </c>
      <c r="G20" s="24">
        <v>2872</v>
      </c>
      <c r="H20" s="24">
        <v>2720</v>
      </c>
      <c r="I20" s="24">
        <v>2625</v>
      </c>
      <c r="K20" s="40"/>
      <c r="M20" s="8"/>
    </row>
    <row r="21" spans="1:13" x14ac:dyDescent="0.25">
      <c r="A21" s="23" t="s">
        <v>150</v>
      </c>
      <c r="B21" s="302" t="s">
        <v>156</v>
      </c>
      <c r="C21" s="309">
        <v>1186419</v>
      </c>
      <c r="D21" s="28">
        <v>8.42</v>
      </c>
      <c r="E21" s="24">
        <v>3530</v>
      </c>
      <c r="F21" s="24">
        <v>4881</v>
      </c>
      <c r="G21" s="24">
        <v>5105</v>
      </c>
      <c r="H21" s="24">
        <v>4916</v>
      </c>
      <c r="I21" s="24">
        <v>4519</v>
      </c>
      <c r="K21" s="40"/>
      <c r="M21" s="8"/>
    </row>
    <row r="22" spans="1:13" x14ac:dyDescent="0.25">
      <c r="A22" s="23" t="s">
        <v>150</v>
      </c>
      <c r="B22" s="302" t="s">
        <v>156</v>
      </c>
      <c r="C22" s="309">
        <v>7001347</v>
      </c>
      <c r="D22" s="28">
        <v>8.42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K22" s="40"/>
      <c r="M22" s="8"/>
    </row>
    <row r="23" spans="1:13" x14ac:dyDescent="0.25">
      <c r="A23" s="23" t="s">
        <v>150</v>
      </c>
      <c r="B23" s="302" t="s">
        <v>157</v>
      </c>
      <c r="C23" s="309">
        <v>7001343</v>
      </c>
      <c r="D23" s="28">
        <v>7.58</v>
      </c>
      <c r="E23" s="24">
        <v>0</v>
      </c>
      <c r="F23" s="24">
        <v>89</v>
      </c>
      <c r="G23" s="24">
        <v>2</v>
      </c>
      <c r="H23" s="24">
        <v>48</v>
      </c>
      <c r="I23" s="24">
        <v>10</v>
      </c>
      <c r="K23" s="40"/>
      <c r="M23" s="8"/>
    </row>
    <row r="24" spans="1:13" x14ac:dyDescent="0.25">
      <c r="A24" s="23" t="s">
        <v>150</v>
      </c>
      <c r="B24" s="302" t="s">
        <v>158</v>
      </c>
      <c r="C24" s="30" t="s">
        <v>210</v>
      </c>
      <c r="D24" s="28">
        <v>6.85</v>
      </c>
      <c r="E24" s="24">
        <v>358</v>
      </c>
      <c r="F24" s="24">
        <v>373</v>
      </c>
      <c r="G24" s="24">
        <v>519</v>
      </c>
      <c r="H24" s="24">
        <v>276</v>
      </c>
      <c r="I24" s="24">
        <v>307</v>
      </c>
      <c r="K24" s="40"/>
      <c r="M24" s="8"/>
    </row>
    <row r="25" spans="1:13" x14ac:dyDescent="0.25">
      <c r="A25" s="23" t="s">
        <v>150</v>
      </c>
      <c r="B25" s="302" t="s">
        <v>158</v>
      </c>
      <c r="C25" s="309">
        <v>7001344</v>
      </c>
      <c r="D25" s="28">
        <v>6.85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K25" s="40"/>
      <c r="M25" s="8"/>
    </row>
    <row r="26" spans="1:13" x14ac:dyDescent="0.25">
      <c r="A26" s="23" t="s">
        <v>150</v>
      </c>
      <c r="B26" s="302" t="s">
        <v>159</v>
      </c>
      <c r="C26" s="309">
        <v>7005980</v>
      </c>
      <c r="D26" s="28">
        <v>22.98</v>
      </c>
      <c r="E26" s="24">
        <v>320</v>
      </c>
      <c r="F26" s="24">
        <v>578</v>
      </c>
      <c r="G26" s="24">
        <v>498</v>
      </c>
      <c r="H26" s="24">
        <v>303</v>
      </c>
      <c r="I26" s="24">
        <v>267</v>
      </c>
      <c r="K26" s="40"/>
      <c r="M26" s="8"/>
    </row>
    <row r="27" spans="1:13" x14ac:dyDescent="0.25">
      <c r="A27" s="23" t="s">
        <v>150</v>
      </c>
      <c r="B27" s="302" t="s">
        <v>160</v>
      </c>
      <c r="C27" s="309">
        <v>7005978</v>
      </c>
      <c r="D27" s="28">
        <v>11.16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K27" s="40"/>
      <c r="M27" s="8"/>
    </row>
    <row r="28" spans="1:13" x14ac:dyDescent="0.25">
      <c r="A28" s="23" t="s">
        <v>150</v>
      </c>
      <c r="B28" s="302" t="s">
        <v>161</v>
      </c>
      <c r="C28" s="309">
        <v>7005979</v>
      </c>
      <c r="D28" s="28">
        <v>11.16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K28" s="40"/>
      <c r="M28" s="8"/>
    </row>
    <row r="29" spans="1:13" x14ac:dyDescent="0.25">
      <c r="A29" s="23" t="s">
        <v>150</v>
      </c>
      <c r="B29" s="302" t="s">
        <v>162</v>
      </c>
      <c r="C29" s="309">
        <v>3005449</v>
      </c>
      <c r="D29" s="28">
        <v>19.78</v>
      </c>
      <c r="E29" s="24">
        <v>48</v>
      </c>
      <c r="F29" s="24">
        <v>0</v>
      </c>
      <c r="G29" s="24">
        <v>150</v>
      </c>
      <c r="H29" s="24">
        <v>36</v>
      </c>
      <c r="I29" s="24">
        <v>91</v>
      </c>
      <c r="K29" s="40"/>
      <c r="M29" s="8"/>
    </row>
    <row r="30" spans="1:13" x14ac:dyDescent="0.25">
      <c r="A30" s="23" t="s">
        <v>150</v>
      </c>
      <c r="B30" s="302" t="s">
        <v>163</v>
      </c>
      <c r="C30" s="309">
        <v>3005450</v>
      </c>
      <c r="D30" s="28">
        <v>23.21</v>
      </c>
      <c r="E30" s="24">
        <v>148</v>
      </c>
      <c r="F30" s="24">
        <v>113</v>
      </c>
      <c r="G30" s="24">
        <v>95</v>
      </c>
      <c r="H30" s="24">
        <v>92</v>
      </c>
      <c r="I30" s="24">
        <v>62</v>
      </c>
      <c r="K30" s="40"/>
      <c r="M30" s="8"/>
    </row>
    <row r="31" spans="1:13" x14ac:dyDescent="0.25">
      <c r="A31" s="23" t="s">
        <v>150</v>
      </c>
      <c r="B31" s="302" t="s">
        <v>164</v>
      </c>
      <c r="C31" s="309">
        <v>1186360</v>
      </c>
      <c r="D31" s="28">
        <v>5.51</v>
      </c>
      <c r="E31" s="24">
        <v>372</v>
      </c>
      <c r="F31" s="24">
        <v>348</v>
      </c>
      <c r="G31" s="24">
        <v>576</v>
      </c>
      <c r="H31" s="24">
        <v>378</v>
      </c>
      <c r="I31" s="24">
        <v>589</v>
      </c>
      <c r="K31" s="40"/>
      <c r="M31" s="8"/>
    </row>
    <row r="32" spans="1:13" x14ac:dyDescent="0.25">
      <c r="A32" s="23" t="s">
        <v>150</v>
      </c>
      <c r="B32" s="302" t="s">
        <v>164</v>
      </c>
      <c r="C32" s="309">
        <v>7001348</v>
      </c>
      <c r="D32" s="28">
        <v>5.51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K32" s="40"/>
      <c r="M32" s="8"/>
    </row>
    <row r="33" spans="1:13" x14ac:dyDescent="0.25">
      <c r="A33" s="23" t="s">
        <v>150</v>
      </c>
      <c r="B33" s="302" t="s">
        <v>165</v>
      </c>
      <c r="C33" s="309">
        <v>1186378</v>
      </c>
      <c r="D33" s="28">
        <v>6.39</v>
      </c>
      <c r="E33" s="24">
        <v>826</v>
      </c>
      <c r="F33" s="24">
        <v>765</v>
      </c>
      <c r="G33" s="24">
        <v>900</v>
      </c>
      <c r="H33" s="24">
        <v>906</v>
      </c>
      <c r="I33" s="24">
        <v>1127</v>
      </c>
      <c r="K33" s="40"/>
      <c r="M33" s="8"/>
    </row>
    <row r="34" spans="1:13" x14ac:dyDescent="0.25">
      <c r="A34" s="23" t="s">
        <v>150</v>
      </c>
      <c r="B34" s="302" t="s">
        <v>165</v>
      </c>
      <c r="C34" s="309">
        <v>7001349</v>
      </c>
      <c r="D34" s="28">
        <v>6.39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K34" s="40"/>
      <c r="M34" s="8"/>
    </row>
    <row r="35" spans="1:13" x14ac:dyDescent="0.25">
      <c r="A35" s="23" t="s">
        <v>150</v>
      </c>
      <c r="B35" s="302" t="s">
        <v>166</v>
      </c>
      <c r="C35" s="309">
        <v>1186427</v>
      </c>
      <c r="D35" s="28">
        <v>7.32</v>
      </c>
      <c r="E35" s="24">
        <v>755</v>
      </c>
      <c r="F35" s="24">
        <v>871</v>
      </c>
      <c r="G35" s="24">
        <v>910</v>
      </c>
      <c r="H35" s="24">
        <v>684</v>
      </c>
      <c r="I35" s="24">
        <v>1003</v>
      </c>
      <c r="K35" s="40"/>
      <c r="M35" s="8"/>
    </row>
    <row r="36" spans="1:13" x14ac:dyDescent="0.25">
      <c r="A36" s="23" t="s">
        <v>150</v>
      </c>
      <c r="B36" s="302" t="s">
        <v>166</v>
      </c>
      <c r="C36" s="309">
        <v>7001350</v>
      </c>
      <c r="D36" s="28">
        <v>7.32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1" t="s">
        <v>572</v>
      </c>
      <c r="K36" s="40"/>
      <c r="M36" s="8"/>
    </row>
    <row r="37" spans="1:13" x14ac:dyDescent="0.25">
      <c r="A37" s="23" t="s">
        <v>120</v>
      </c>
      <c r="B37" s="302" t="s">
        <v>121</v>
      </c>
      <c r="C37" s="27">
        <v>1185735</v>
      </c>
      <c r="D37" s="28">
        <v>32.479999999999997</v>
      </c>
      <c r="E37" s="24">
        <v>25</v>
      </c>
      <c r="F37" s="24">
        <v>21</v>
      </c>
      <c r="G37" s="24">
        <v>35</v>
      </c>
      <c r="H37" s="24">
        <v>20</v>
      </c>
      <c r="I37" s="24">
        <v>16</v>
      </c>
      <c r="J37" s="21">
        <f>SUM(E37:I37)</f>
        <v>117</v>
      </c>
      <c r="K37">
        <f>J37/$J$45</f>
        <v>7.3724007561436669E-2</v>
      </c>
      <c r="L37" s="8">
        <f>K37*D37</f>
        <v>2.3945557655954626</v>
      </c>
    </row>
    <row r="38" spans="1:13" x14ac:dyDescent="0.25">
      <c r="A38" s="23" t="s">
        <v>120</v>
      </c>
      <c r="B38" s="302" t="s">
        <v>122</v>
      </c>
      <c r="C38" s="27">
        <v>7002216</v>
      </c>
      <c r="D38" s="28">
        <v>71.83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1">
        <f>SUM(E38:I38)</f>
        <v>0</v>
      </c>
      <c r="K38">
        <f>J38/$J$45</f>
        <v>0</v>
      </c>
      <c r="L38" s="8">
        <f>K38*D38</f>
        <v>0</v>
      </c>
    </row>
    <row r="39" spans="1:13" x14ac:dyDescent="0.25">
      <c r="A39" s="23" t="s">
        <v>120</v>
      </c>
      <c r="B39" s="302" t="s">
        <v>123</v>
      </c>
      <c r="C39" s="27">
        <v>7001369</v>
      </c>
      <c r="D39" s="28">
        <v>64.92</v>
      </c>
      <c r="E39" s="24">
        <v>298</v>
      </c>
      <c r="F39" s="24">
        <v>454</v>
      </c>
      <c r="G39" s="24">
        <v>348</v>
      </c>
      <c r="H39" s="24">
        <v>190</v>
      </c>
      <c r="I39" s="24">
        <v>74</v>
      </c>
      <c r="J39" s="21">
        <f>SUM(E39:I39)</f>
        <v>1364</v>
      </c>
      <c r="K39">
        <f>J39/$J$45</f>
        <v>0.85948330182734722</v>
      </c>
      <c r="L39" s="8">
        <f>K39*D39</f>
        <v>55.797655954631381</v>
      </c>
    </row>
    <row r="40" spans="1:13" x14ac:dyDescent="0.25">
      <c r="A40" s="23" t="s">
        <v>120</v>
      </c>
      <c r="B40" s="302" t="s">
        <v>124</v>
      </c>
      <c r="C40" s="27">
        <v>7001370</v>
      </c>
      <c r="D40" s="28">
        <v>106.08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1">
        <f>SUM(E40:I40)</f>
        <v>0</v>
      </c>
      <c r="K40">
        <f>J40/$J$45</f>
        <v>0</v>
      </c>
      <c r="L40" s="8">
        <f>K40*D40</f>
        <v>0</v>
      </c>
    </row>
    <row r="41" spans="1:13" x14ac:dyDescent="0.25">
      <c r="A41" s="23" t="s">
        <v>120</v>
      </c>
      <c r="B41" s="302" t="s">
        <v>125</v>
      </c>
      <c r="C41" s="27">
        <v>3010223</v>
      </c>
      <c r="D41" s="28">
        <v>152.49</v>
      </c>
      <c r="E41" s="24">
        <v>30</v>
      </c>
      <c r="F41" s="24">
        <v>25</v>
      </c>
      <c r="G41" s="24">
        <v>80</v>
      </c>
      <c r="H41" s="24">
        <v>130</v>
      </c>
      <c r="I41" s="24">
        <v>92</v>
      </c>
      <c r="L41" s="8"/>
    </row>
    <row r="42" spans="1:13" x14ac:dyDescent="0.25">
      <c r="A42" s="23" t="s">
        <v>120</v>
      </c>
      <c r="B42" s="302" t="s">
        <v>126</v>
      </c>
      <c r="C42" s="27">
        <v>7001720</v>
      </c>
      <c r="D42" s="28">
        <v>162.93</v>
      </c>
      <c r="E42" s="24">
        <v>25</v>
      </c>
      <c r="F42" s="24">
        <v>20</v>
      </c>
      <c r="G42" s="24">
        <v>31</v>
      </c>
      <c r="H42" s="24">
        <v>20</v>
      </c>
      <c r="I42" s="24">
        <v>10</v>
      </c>
      <c r="J42" s="21">
        <f>SUM(E42:I42)</f>
        <v>106</v>
      </c>
      <c r="K42">
        <f>J42/$J$45</f>
        <v>6.6792690611216135E-2</v>
      </c>
      <c r="L42" s="8">
        <f>K42*D42</f>
        <v>10.882533081285445</v>
      </c>
    </row>
    <row r="43" spans="1:13" x14ac:dyDescent="0.25">
      <c r="A43" s="23" t="s">
        <v>120</v>
      </c>
      <c r="B43" s="302" t="s">
        <v>127</v>
      </c>
      <c r="C43" s="27">
        <v>7001721</v>
      </c>
      <c r="D43" s="28">
        <v>195.59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1">
        <f>SUM(E43:I43)</f>
        <v>0</v>
      </c>
      <c r="K43">
        <f>J43/$J$45</f>
        <v>0</v>
      </c>
      <c r="L43" s="8">
        <f>K43*D43</f>
        <v>0</v>
      </c>
    </row>
    <row r="44" spans="1:13" x14ac:dyDescent="0.25">
      <c r="A44" s="23" t="s">
        <v>120</v>
      </c>
      <c r="B44" s="302" t="s">
        <v>128</v>
      </c>
      <c r="C44" s="27">
        <v>7001722</v>
      </c>
      <c r="D44" s="28">
        <v>247.74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1">
        <f>SUM(E44:I44)</f>
        <v>0</v>
      </c>
      <c r="K44">
        <f>J44/$J$45</f>
        <v>0</v>
      </c>
      <c r="L44" s="8">
        <f>K44*D44</f>
        <v>0</v>
      </c>
    </row>
    <row r="45" spans="1:13" x14ac:dyDescent="0.25">
      <c r="A45" s="23" t="s">
        <v>120</v>
      </c>
      <c r="B45" s="302" t="s">
        <v>129</v>
      </c>
      <c r="C45" s="310" t="s">
        <v>130</v>
      </c>
      <c r="D45" s="28">
        <v>201.11</v>
      </c>
      <c r="E45" s="24">
        <v>74</v>
      </c>
      <c r="F45" s="24">
        <v>35</v>
      </c>
      <c r="G45" s="24">
        <v>150</v>
      </c>
      <c r="H45" s="24">
        <v>68</v>
      </c>
      <c r="I45" s="24">
        <v>72</v>
      </c>
      <c r="J45" s="21">
        <f>SUM(J37:J40,J42:J44)</f>
        <v>1587</v>
      </c>
      <c r="L45" s="8">
        <f>SUM(L42:L44,L37:L40)</f>
        <v>69.074744801512281</v>
      </c>
    </row>
    <row r="46" spans="1:13" x14ac:dyDescent="0.25">
      <c r="A46" s="23" t="s">
        <v>120</v>
      </c>
      <c r="B46" s="302" t="s">
        <v>192</v>
      </c>
      <c r="C46" s="29">
        <v>1156819</v>
      </c>
      <c r="D46" s="28">
        <v>27.99</v>
      </c>
      <c r="E46" s="24">
        <v>22</v>
      </c>
      <c r="F46" s="24">
        <v>0</v>
      </c>
      <c r="G46" s="24">
        <v>16</v>
      </c>
      <c r="H46" s="24">
        <v>32</v>
      </c>
      <c r="I46" s="24">
        <v>44</v>
      </c>
    </row>
    <row r="47" spans="1:13" x14ac:dyDescent="0.25">
      <c r="A47" s="302" t="s">
        <v>141</v>
      </c>
      <c r="B47" s="302" t="s">
        <v>64</v>
      </c>
      <c r="C47" s="27">
        <v>7010086</v>
      </c>
      <c r="D47" s="28">
        <v>0.62</v>
      </c>
      <c r="E47" s="24"/>
      <c r="F47" s="24"/>
      <c r="G47" s="24"/>
      <c r="H47" s="24"/>
      <c r="I47" s="24"/>
    </row>
    <row r="48" spans="1:13" x14ac:dyDescent="0.25">
      <c r="A48" s="302" t="s">
        <v>141</v>
      </c>
      <c r="B48" s="302" t="s">
        <v>142</v>
      </c>
      <c r="C48" s="27" t="s">
        <v>143</v>
      </c>
      <c r="D48" s="28">
        <v>0.4</v>
      </c>
      <c r="E48" s="24"/>
      <c r="F48" s="24"/>
      <c r="G48" s="24"/>
      <c r="H48" s="24"/>
      <c r="I48" s="24"/>
    </row>
    <row r="49" spans="1:10" x14ac:dyDescent="0.25">
      <c r="A49" s="302" t="s">
        <v>141</v>
      </c>
      <c r="B49" s="302" t="s">
        <v>0</v>
      </c>
      <c r="C49" s="27">
        <v>7000259</v>
      </c>
      <c r="D49" s="28">
        <v>1.06</v>
      </c>
      <c r="E49" s="24"/>
      <c r="F49" s="24"/>
      <c r="G49" s="24"/>
      <c r="H49" s="24"/>
      <c r="I49" s="24"/>
    </row>
    <row r="50" spans="1:10" x14ac:dyDescent="0.25">
      <c r="A50" s="302" t="s">
        <v>141</v>
      </c>
      <c r="B50" s="302" t="s">
        <v>6</v>
      </c>
      <c r="C50" s="27">
        <v>7000337</v>
      </c>
      <c r="D50" s="28">
        <v>0.24</v>
      </c>
      <c r="E50" s="24"/>
      <c r="F50" s="24"/>
      <c r="G50" s="24"/>
      <c r="H50" s="24"/>
      <c r="I50" s="24"/>
    </row>
    <row r="51" spans="1:10" x14ac:dyDescent="0.25">
      <c r="A51" s="302" t="s">
        <v>141</v>
      </c>
      <c r="B51" s="302" t="s">
        <v>2</v>
      </c>
      <c r="C51" s="27">
        <v>7003002</v>
      </c>
      <c r="D51" s="28">
        <v>0.6</v>
      </c>
      <c r="E51" s="24"/>
      <c r="F51" s="24"/>
      <c r="G51" s="24"/>
      <c r="H51" s="24"/>
      <c r="I51" s="24"/>
    </row>
    <row r="52" spans="1:10" x14ac:dyDescent="0.25">
      <c r="A52" s="302" t="s">
        <v>141</v>
      </c>
      <c r="B52" s="302" t="s">
        <v>7</v>
      </c>
      <c r="C52" s="27">
        <v>7000911</v>
      </c>
      <c r="D52" s="28">
        <v>3.44</v>
      </c>
      <c r="E52" s="24"/>
      <c r="F52" s="24"/>
      <c r="G52" s="24"/>
      <c r="H52" s="24"/>
      <c r="I52" s="24"/>
    </row>
    <row r="53" spans="1:10" x14ac:dyDescent="0.25">
      <c r="A53" s="302" t="s">
        <v>141</v>
      </c>
      <c r="B53" s="302" t="s">
        <v>4</v>
      </c>
      <c r="C53" s="27">
        <v>7001268</v>
      </c>
      <c r="D53" s="28">
        <v>0.72</v>
      </c>
      <c r="E53" s="24"/>
      <c r="F53" s="24"/>
      <c r="G53" s="24"/>
      <c r="H53" s="24"/>
      <c r="I53" s="24"/>
    </row>
    <row r="54" spans="1:10" x14ac:dyDescent="0.25">
      <c r="A54" s="302" t="s">
        <v>141</v>
      </c>
      <c r="B54" s="302" t="s">
        <v>5</v>
      </c>
      <c r="C54" s="27">
        <v>7005143</v>
      </c>
      <c r="D54" s="28">
        <v>1.68</v>
      </c>
      <c r="E54" s="24"/>
      <c r="F54" s="24"/>
      <c r="G54" s="24"/>
      <c r="H54" s="24"/>
      <c r="I54" s="24"/>
    </row>
    <row r="55" spans="1:10" x14ac:dyDescent="0.25">
      <c r="A55" s="23" t="s">
        <v>11</v>
      </c>
      <c r="B55" s="302" t="s">
        <v>116</v>
      </c>
      <c r="C55" s="27">
        <v>3024531</v>
      </c>
      <c r="D55" s="28">
        <v>14.98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</row>
    <row r="56" spans="1:10" ht="45" x14ac:dyDescent="0.25">
      <c r="A56" s="25" t="s">
        <v>11</v>
      </c>
      <c r="B56" s="26" t="s">
        <v>218</v>
      </c>
      <c r="C56" s="27">
        <v>7001331</v>
      </c>
      <c r="D56" s="28">
        <v>3.13</v>
      </c>
      <c r="E56" s="24">
        <v>14767</v>
      </c>
      <c r="F56" s="24">
        <v>17807</v>
      </c>
      <c r="G56" s="24">
        <v>16648</v>
      </c>
      <c r="H56" s="24">
        <v>14594</v>
      </c>
      <c r="I56" s="24">
        <v>13324</v>
      </c>
      <c r="J56" s="23"/>
    </row>
    <row r="57" spans="1:10" x14ac:dyDescent="0.25">
      <c r="A57" s="23" t="s">
        <v>59</v>
      </c>
      <c r="B57" s="302" t="s">
        <v>117</v>
      </c>
      <c r="C57" s="309">
        <v>3010215</v>
      </c>
      <c r="D57" s="28">
        <v>990.26</v>
      </c>
      <c r="E57" s="24">
        <v>96</v>
      </c>
      <c r="F57" s="24">
        <v>196</v>
      </c>
      <c r="G57" s="24">
        <v>72</v>
      </c>
      <c r="H57" s="24">
        <v>270</v>
      </c>
      <c r="I57" s="24">
        <v>114</v>
      </c>
    </row>
    <row r="58" spans="1:10" x14ac:dyDescent="0.25">
      <c r="A58" s="23" t="s">
        <v>59</v>
      </c>
      <c r="B58" s="302" t="s">
        <v>191</v>
      </c>
      <c r="C58" s="27">
        <v>3016401</v>
      </c>
      <c r="D58" s="28">
        <v>767</v>
      </c>
      <c r="E58" s="24"/>
      <c r="F58" s="24"/>
      <c r="G58" s="24"/>
      <c r="H58" s="24">
        <v>40</v>
      </c>
      <c r="I58" s="24"/>
      <c r="J58" s="22"/>
    </row>
    <row r="59" spans="1:10" x14ac:dyDescent="0.25">
      <c r="A59" s="23" t="s">
        <v>59</v>
      </c>
      <c r="B59" s="302" t="s">
        <v>208</v>
      </c>
      <c r="C59" s="309">
        <v>3011392</v>
      </c>
      <c r="D59" s="28">
        <v>267.41000000000003</v>
      </c>
      <c r="E59" s="24">
        <v>10</v>
      </c>
      <c r="F59" s="24">
        <v>106</v>
      </c>
      <c r="G59" s="24">
        <v>58</v>
      </c>
      <c r="H59" s="24">
        <v>14</v>
      </c>
      <c r="I59" s="24">
        <v>10</v>
      </c>
    </row>
    <row r="60" spans="1:10" x14ac:dyDescent="0.25">
      <c r="A60" s="23" t="s">
        <v>59</v>
      </c>
      <c r="B60" s="302" t="s">
        <v>118</v>
      </c>
      <c r="C60" s="27">
        <v>3010217</v>
      </c>
      <c r="D60" s="28">
        <v>689.36</v>
      </c>
      <c r="E60" s="24">
        <v>284</v>
      </c>
      <c r="F60" s="24">
        <v>144</v>
      </c>
      <c r="G60" s="24">
        <v>284</v>
      </c>
      <c r="H60" s="24">
        <v>118</v>
      </c>
      <c r="I60" s="24">
        <v>116</v>
      </c>
    </row>
    <row r="61" spans="1:10" x14ac:dyDescent="0.25">
      <c r="A61" s="23" t="s">
        <v>59</v>
      </c>
      <c r="B61" s="302" t="s">
        <v>119</v>
      </c>
      <c r="C61" s="27">
        <v>3011390</v>
      </c>
      <c r="D61" s="28">
        <v>225.9</v>
      </c>
      <c r="E61" s="24">
        <v>1494</v>
      </c>
      <c r="F61" s="24">
        <v>1120</v>
      </c>
      <c r="G61" s="24">
        <v>892</v>
      </c>
      <c r="H61" s="24">
        <v>460</v>
      </c>
      <c r="I61" s="24">
        <v>622</v>
      </c>
    </row>
    <row r="62" spans="1:10" x14ac:dyDescent="0.25">
      <c r="A62" s="302" t="s">
        <v>66</v>
      </c>
      <c r="B62" s="302" t="s">
        <v>148</v>
      </c>
      <c r="C62" s="27">
        <v>1243827</v>
      </c>
      <c r="D62" s="28">
        <v>34.869999999999997</v>
      </c>
      <c r="E62" s="24"/>
      <c r="F62" s="24"/>
      <c r="G62" s="24"/>
      <c r="H62" s="24"/>
      <c r="I62" s="24"/>
    </row>
    <row r="63" spans="1:10" x14ac:dyDescent="0.25">
      <c r="A63" s="302" t="s">
        <v>66</v>
      </c>
      <c r="B63" s="302" t="s">
        <v>149</v>
      </c>
      <c r="C63" s="309">
        <v>7003714</v>
      </c>
      <c r="D63" s="28">
        <v>165.15</v>
      </c>
      <c r="E63" s="24"/>
      <c r="F63" s="24"/>
      <c r="G63" s="24"/>
      <c r="H63" s="24"/>
      <c r="I63" s="24"/>
    </row>
    <row r="64" spans="1:10" x14ac:dyDescent="0.25">
      <c r="A64" s="302" t="s">
        <v>3</v>
      </c>
      <c r="B64" s="302" t="s">
        <v>131</v>
      </c>
      <c r="C64" s="27">
        <v>7006487</v>
      </c>
      <c r="D64" s="28">
        <v>0.24</v>
      </c>
      <c r="E64" s="24"/>
      <c r="F64" s="24"/>
      <c r="G64" s="24"/>
      <c r="H64" s="24"/>
      <c r="I64" s="24"/>
    </row>
    <row r="65" spans="1:9" x14ac:dyDescent="0.25">
      <c r="A65" s="302" t="s">
        <v>3</v>
      </c>
      <c r="B65" s="302" t="s">
        <v>132</v>
      </c>
      <c r="C65" s="27">
        <v>7000414</v>
      </c>
      <c r="D65" s="28">
        <v>0.31</v>
      </c>
      <c r="E65" s="24"/>
      <c r="F65" s="24"/>
      <c r="G65" s="24"/>
      <c r="H65" s="24"/>
      <c r="I65" s="24"/>
    </row>
    <row r="66" spans="1:9" x14ac:dyDescent="0.25">
      <c r="A66" s="302" t="s">
        <v>3</v>
      </c>
      <c r="B66" s="302" t="s">
        <v>133</v>
      </c>
      <c r="C66" s="27">
        <v>7001357</v>
      </c>
      <c r="D66" s="28">
        <v>0.35</v>
      </c>
      <c r="E66" s="24"/>
      <c r="F66" s="24"/>
      <c r="G66" s="24"/>
      <c r="H66" s="24"/>
      <c r="I66" s="24"/>
    </row>
  </sheetData>
  <sortState ref="A3:O195">
    <sortCondition ref="A3"/>
  </sortState>
  <mergeCells count="1">
    <mergeCell ref="E1:I1"/>
  </mergeCells>
  <pageMargins left="1" right="1" top="1" bottom="1.75" header="0.5" footer="0.5"/>
  <pageSetup scale="70" fitToHeight="0" orientation="landscape" r:id="rId1"/>
  <headerFooter scaleWithDoc="0">
    <oddFooter xml:space="preserve">&amp;R&amp;"Times New Roman,Bold"&amp;12 Case No. 2018-00295
Attachment to Response to PSC-2 Question No. 29a-b
Page &amp;P of &amp;N
Seelye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="80" zoomScaleNormal="80" workbookViewId="0"/>
  </sheetViews>
  <sheetFormatPr defaultRowHeight="15" x14ac:dyDescent="0.25"/>
  <cols>
    <col min="1" max="1" width="21.7109375" bestFit="1" customWidth="1"/>
    <col min="2" max="2" width="31.140625" bestFit="1" customWidth="1"/>
    <col min="3" max="3" width="32.42578125" bestFit="1" customWidth="1"/>
    <col min="4" max="4" width="12" bestFit="1" customWidth="1"/>
    <col min="5" max="5" width="28" bestFit="1" customWidth="1"/>
    <col min="6" max="6" width="10.7109375" bestFit="1" customWidth="1"/>
    <col min="7" max="7" width="17.28515625" bestFit="1" customWidth="1"/>
    <col min="8" max="8" width="16.5703125" customWidth="1"/>
    <col min="9" max="10" width="19" customWidth="1"/>
    <col min="11" max="11" width="24.42578125" customWidth="1"/>
    <col min="12" max="12" width="19.85546875" customWidth="1"/>
    <col min="13" max="13" width="24.140625" customWidth="1"/>
    <col min="14" max="14" width="10.7109375" bestFit="1" customWidth="1"/>
    <col min="15" max="15" width="16.28515625" bestFit="1" customWidth="1"/>
    <col min="16" max="16" width="24.85546875" customWidth="1"/>
    <col min="17" max="17" width="16.28515625" bestFit="1" customWidth="1"/>
    <col min="18" max="18" width="13.42578125" bestFit="1" customWidth="1"/>
    <col min="19" max="19" width="14.140625" customWidth="1"/>
    <col min="20" max="20" width="14.7109375" customWidth="1"/>
  </cols>
  <sheetData>
    <row r="1" spans="1:12" x14ac:dyDescent="0.25">
      <c r="A1" s="34"/>
      <c r="B1" s="35" t="s">
        <v>223</v>
      </c>
      <c r="C1" s="35"/>
      <c r="D1" s="36" t="s">
        <v>224</v>
      </c>
      <c r="E1" s="35" t="s">
        <v>225</v>
      </c>
      <c r="F1" s="36" t="s">
        <v>226</v>
      </c>
      <c r="G1" s="35" t="s">
        <v>227</v>
      </c>
      <c r="H1" s="339" t="s">
        <v>233</v>
      </c>
      <c r="I1" s="338" t="s">
        <v>520</v>
      </c>
      <c r="K1" s="338"/>
      <c r="L1" s="338"/>
    </row>
    <row r="2" spans="1:12" x14ac:dyDescent="0.25">
      <c r="A2" s="34" t="s">
        <v>228</v>
      </c>
      <c r="B2" s="37" t="s">
        <v>229</v>
      </c>
      <c r="C2" s="37" t="s">
        <v>230</v>
      </c>
      <c r="D2" s="38"/>
      <c r="E2" s="37" t="s">
        <v>231</v>
      </c>
      <c r="F2" s="38"/>
      <c r="G2" s="37"/>
      <c r="H2" s="339"/>
      <c r="I2" s="338"/>
      <c r="K2" s="338"/>
      <c r="L2" s="338"/>
    </row>
    <row r="3" spans="1:12" x14ac:dyDescent="0.25">
      <c r="A3" s="34">
        <v>2015</v>
      </c>
      <c r="B3" s="39">
        <v>2174452.1</v>
      </c>
      <c r="C3" s="39">
        <v>3718189.7800000003</v>
      </c>
      <c r="D3" s="39">
        <v>5892641.8800000008</v>
      </c>
      <c r="E3" s="39">
        <v>420572.04000000004</v>
      </c>
      <c r="F3" s="39">
        <v>420572.04000000004</v>
      </c>
      <c r="G3" s="39">
        <v>6313213.9200000009</v>
      </c>
      <c r="H3" s="42">
        <f>SUM(Materials!G15:G36)</f>
        <v>19149</v>
      </c>
      <c r="I3" s="8">
        <f>E3/B26</f>
        <v>4.6924703493366957</v>
      </c>
      <c r="K3" s="4"/>
      <c r="L3" s="8"/>
    </row>
    <row r="4" spans="1:12" x14ac:dyDescent="0.25">
      <c r="A4" s="34">
        <v>2016</v>
      </c>
      <c r="B4" s="39">
        <v>1678915.19</v>
      </c>
      <c r="C4" s="39">
        <v>3647035.58</v>
      </c>
      <c r="D4" s="39">
        <v>5325950.7699999996</v>
      </c>
      <c r="E4" s="39">
        <v>430105.8</v>
      </c>
      <c r="F4" s="39">
        <v>430105.8</v>
      </c>
      <c r="G4" s="39">
        <v>5756056.5699999994</v>
      </c>
      <c r="H4" s="42">
        <f>SUM(Materials!F15:F36)</f>
        <v>18795</v>
      </c>
      <c r="I4" s="8">
        <f>E4/B26</f>
        <v>4.7988418668481598</v>
      </c>
      <c r="K4" s="4"/>
      <c r="L4" s="8"/>
    </row>
    <row r="5" spans="1:12" x14ac:dyDescent="0.25">
      <c r="A5" s="34">
        <v>2017</v>
      </c>
      <c r="B5" s="39">
        <v>1828433.6499999997</v>
      </c>
      <c r="C5" s="39">
        <v>3011603.7900000005</v>
      </c>
      <c r="D5" s="39">
        <v>4840037.4400000004</v>
      </c>
      <c r="E5" s="39">
        <v>404388.61</v>
      </c>
      <c r="F5" s="39">
        <v>404388.61</v>
      </c>
      <c r="G5" s="39">
        <v>5244426.0500000007</v>
      </c>
      <c r="H5" s="42">
        <f>SUM(Materials!E15:E36)</f>
        <v>15536</v>
      </c>
      <c r="I5" s="8">
        <f>E5/B26</f>
        <v>4.5119061220391172</v>
      </c>
      <c r="K5" s="4"/>
      <c r="L5" s="8"/>
    </row>
    <row r="6" spans="1:12" x14ac:dyDescent="0.25">
      <c r="C6" s="33"/>
      <c r="D6" s="33"/>
      <c r="E6" s="33"/>
      <c r="G6" t="s">
        <v>235</v>
      </c>
      <c r="H6" s="43">
        <f>AVERAGE(H3:H5)</f>
        <v>17826.666666666668</v>
      </c>
      <c r="I6" s="8"/>
      <c r="K6" s="4"/>
      <c r="L6" s="4"/>
    </row>
    <row r="7" spans="1:12" x14ac:dyDescent="0.25">
      <c r="A7" t="s">
        <v>511</v>
      </c>
      <c r="B7" s="39">
        <v>2323122</v>
      </c>
      <c r="C7" s="33">
        <v>3771513</v>
      </c>
      <c r="D7" s="33"/>
      <c r="E7" s="33">
        <v>452792</v>
      </c>
      <c r="H7" s="43"/>
      <c r="I7" s="8">
        <f>E7/B26</f>
        <v>5.0519597889028978</v>
      </c>
      <c r="K7" s="4"/>
      <c r="L7" s="291"/>
    </row>
    <row r="10" spans="1:12" x14ac:dyDescent="0.25">
      <c r="C10" s="8"/>
      <c r="L10" s="41"/>
    </row>
    <row r="11" spans="1:12" x14ac:dyDescent="0.25">
      <c r="C11" s="8"/>
    </row>
    <row r="12" spans="1:12" x14ac:dyDescent="0.25">
      <c r="C12" s="8"/>
    </row>
    <row r="13" spans="1:12" x14ac:dyDescent="0.25">
      <c r="J13" s="341"/>
    </row>
    <row r="14" spans="1:12" x14ac:dyDescent="0.25">
      <c r="C14" s="4"/>
    </row>
    <row r="15" spans="1:12" x14ac:dyDescent="0.25">
      <c r="C15" s="8"/>
    </row>
    <row r="16" spans="1:12" x14ac:dyDescent="0.25">
      <c r="C16" s="8"/>
    </row>
    <row r="19" spans="1:10" x14ac:dyDescent="0.25">
      <c r="D19" s="8"/>
      <c r="E19" s="8"/>
    </row>
    <row r="20" spans="1:10" x14ac:dyDescent="0.25">
      <c r="D20" s="8"/>
      <c r="E20" s="8"/>
    </row>
    <row r="21" spans="1:10" x14ac:dyDescent="0.25">
      <c r="D21" s="8"/>
      <c r="E21" s="8"/>
    </row>
    <row r="22" spans="1:10" x14ac:dyDescent="0.25">
      <c r="A22" t="s">
        <v>573</v>
      </c>
      <c r="B22" s="40">
        <v>403</v>
      </c>
    </row>
    <row r="24" spans="1:10" x14ac:dyDescent="0.25">
      <c r="G24" s="8"/>
    </row>
    <row r="25" spans="1:10" x14ac:dyDescent="0.25">
      <c r="A25" t="s">
        <v>495</v>
      </c>
      <c r="D25" s="7" t="s">
        <v>521</v>
      </c>
    </row>
    <row r="26" spans="1:10" x14ac:dyDescent="0.25">
      <c r="A26" t="s">
        <v>510</v>
      </c>
      <c r="B26" s="43">
        <v>89627</v>
      </c>
      <c r="D26" t="s">
        <v>522</v>
      </c>
      <c r="G26" s="8">
        <v>565.88546620424188</v>
      </c>
    </row>
    <row r="27" spans="1:10" x14ac:dyDescent="0.25">
      <c r="A27" t="s">
        <v>523</v>
      </c>
      <c r="B27" s="149">
        <v>52489</v>
      </c>
      <c r="C27" s="41">
        <f>B27/B26</f>
        <v>0.58563825632900801</v>
      </c>
      <c r="D27" t="s">
        <v>524</v>
      </c>
      <c r="G27" s="8">
        <v>361.40134229095139</v>
      </c>
      <c r="H27" s="41">
        <f>G27/(G27+G28)</f>
        <v>0.16186303700509383</v>
      </c>
    </row>
    <row r="28" spans="1:10" x14ac:dyDescent="0.25">
      <c r="A28" t="s">
        <v>525</v>
      </c>
      <c r="B28" s="149">
        <v>37138</v>
      </c>
      <c r="C28" s="41">
        <f>B28/B26</f>
        <v>0.41436174367099199</v>
      </c>
      <c r="D28" t="s">
        <v>526</v>
      </c>
      <c r="G28" s="8">
        <v>1871.3588293817083</v>
      </c>
      <c r="H28" s="41">
        <f>G28/(G27+G28)</f>
        <v>0.83813696299490614</v>
      </c>
    </row>
    <row r="29" spans="1:10" x14ac:dyDescent="0.25">
      <c r="H29" s="11"/>
      <c r="I29" s="11"/>
      <c r="J29" s="11"/>
    </row>
    <row r="30" spans="1:10" x14ac:dyDescent="0.25">
      <c r="D30" t="s">
        <v>514</v>
      </c>
      <c r="H30" s="320"/>
      <c r="I30" s="321" t="s">
        <v>527</v>
      </c>
      <c r="J30" s="322">
        <v>70512610</v>
      </c>
    </row>
    <row r="31" spans="1:10" x14ac:dyDescent="0.25">
      <c r="D31" t="s">
        <v>528</v>
      </c>
      <c r="G31" s="8">
        <f>G26*B27</f>
        <v>29702762.235594451</v>
      </c>
      <c r="H31" s="323"/>
      <c r="I31" s="318"/>
      <c r="J31" s="324"/>
    </row>
    <row r="32" spans="1:10" x14ac:dyDescent="0.25">
      <c r="D32" t="s">
        <v>529</v>
      </c>
      <c r="G32" s="8">
        <f>G27*B28</f>
        <v>13421723.050001353</v>
      </c>
      <c r="H32" s="323"/>
      <c r="I32" s="318"/>
      <c r="J32" s="324"/>
    </row>
    <row r="33" spans="1:17" x14ac:dyDescent="0.25">
      <c r="B33" s="43"/>
      <c r="D33" t="s">
        <v>492</v>
      </c>
      <c r="G33" s="8">
        <f>SUM(E43:E47)</f>
        <v>74522310.459999993</v>
      </c>
      <c r="H33" s="325">
        <f>G33/G34</f>
        <v>0.63344105538709328</v>
      </c>
      <c r="I33" s="318" t="s">
        <v>530</v>
      </c>
      <c r="J33" s="326">
        <f>J30*H33</f>
        <v>44665582.096498504</v>
      </c>
    </row>
    <row r="34" spans="1:17" x14ac:dyDescent="0.25">
      <c r="D34" t="s">
        <v>510</v>
      </c>
      <c r="G34" s="8">
        <f>SUM(G31:G33)</f>
        <v>117646795.7455958</v>
      </c>
      <c r="H34" s="323"/>
      <c r="I34" s="318" t="s">
        <v>531</v>
      </c>
      <c r="J34" s="327">
        <f>J33/B28</f>
        <v>1202.6921777289704</v>
      </c>
    </row>
    <row r="35" spans="1:17" x14ac:dyDescent="0.25">
      <c r="D35" t="s">
        <v>532</v>
      </c>
      <c r="G35" s="8">
        <f>SUM(G31:G32)</f>
        <v>43124485.285595804</v>
      </c>
      <c r="H35" s="325">
        <f>G35/G34</f>
        <v>0.36655894461290678</v>
      </c>
      <c r="I35" s="318" t="s">
        <v>533</v>
      </c>
      <c r="J35" s="327">
        <f>J30*H35</f>
        <v>25847027.903501496</v>
      </c>
    </row>
    <row r="36" spans="1:17" x14ac:dyDescent="0.25">
      <c r="G36" s="8"/>
      <c r="H36" s="323"/>
      <c r="I36" s="318" t="s">
        <v>534</v>
      </c>
      <c r="J36" s="327">
        <f>J35/B26</f>
        <v>288.3843920191627</v>
      </c>
    </row>
    <row r="37" spans="1:17" x14ac:dyDescent="0.25">
      <c r="B37" t="s">
        <v>574</v>
      </c>
      <c r="G37" s="8"/>
      <c r="H37" s="323"/>
      <c r="I37" s="318"/>
      <c r="J37" s="324"/>
    </row>
    <row r="38" spans="1:17" x14ac:dyDescent="0.25">
      <c r="A38" t="s">
        <v>495</v>
      </c>
      <c r="B38" s="4">
        <f>2323122*C28*H28</f>
        <v>806801.43802955782</v>
      </c>
      <c r="C38" s="4"/>
      <c r="H38" s="328" t="s">
        <v>553</v>
      </c>
      <c r="I38" s="319"/>
      <c r="J38" s="329">
        <f>J36*'Fixed Carrying Cost'!F82</f>
        <v>89.878317019078949</v>
      </c>
    </row>
    <row r="39" spans="1:17" x14ac:dyDescent="0.25">
      <c r="B39" t="s">
        <v>575</v>
      </c>
      <c r="H39" s="330" t="s">
        <v>554</v>
      </c>
      <c r="I39" s="297"/>
      <c r="J39" s="331">
        <f>J38/12</f>
        <v>7.4898597515899121</v>
      </c>
    </row>
    <row r="40" spans="1:17" x14ac:dyDescent="0.25">
      <c r="A40" t="s">
        <v>495</v>
      </c>
      <c r="B40" s="8">
        <f>G28/43</f>
        <v>43.519972776318802</v>
      </c>
      <c r="G40" s="8"/>
    </row>
    <row r="41" spans="1:17" x14ac:dyDescent="0.25">
      <c r="L41" s="8"/>
      <c r="N41" s="9"/>
      <c r="O41" s="8"/>
      <c r="Q41" s="8"/>
    </row>
    <row r="42" spans="1:17" ht="75" x14ac:dyDescent="0.25">
      <c r="B42" t="s">
        <v>199</v>
      </c>
      <c r="C42" s="296" t="s">
        <v>512</v>
      </c>
      <c r="D42" s="296" t="s">
        <v>513</v>
      </c>
      <c r="E42" s="296" t="s">
        <v>514</v>
      </c>
      <c r="F42" s="296" t="s">
        <v>515</v>
      </c>
      <c r="G42" s="296" t="s">
        <v>516</v>
      </c>
      <c r="H42" s="296" t="s">
        <v>517</v>
      </c>
      <c r="I42" s="296" t="s">
        <v>518</v>
      </c>
      <c r="J42" s="296" t="s">
        <v>519</v>
      </c>
      <c r="K42" s="296" t="s">
        <v>520</v>
      </c>
    </row>
    <row r="43" spans="1:17" x14ac:dyDescent="0.25">
      <c r="A43" t="s">
        <v>495</v>
      </c>
      <c r="B43" t="s">
        <v>506</v>
      </c>
      <c r="C43" s="4">
        <v>1667.31</v>
      </c>
      <c r="D43" s="43">
        <v>28844</v>
      </c>
      <c r="E43" s="8">
        <f>C43*D43</f>
        <v>48091889.640000001</v>
      </c>
      <c r="F43" s="9">
        <f>E43/G33</f>
        <v>0.64533546186565727</v>
      </c>
      <c r="G43" s="8">
        <f>J33*F43</f>
        <v>28824284.051742293</v>
      </c>
      <c r="H43" s="8">
        <f>B38*F43</f>
        <v>520657.57864468114</v>
      </c>
      <c r="I43" s="8">
        <v>0</v>
      </c>
      <c r="J43" s="8">
        <f>(SUM(G43:H43)/(D43+H49))+I43</f>
        <v>1006.4803687195423</v>
      </c>
      <c r="K43" s="291">
        <f>$I$7</f>
        <v>5.0519597889028978</v>
      </c>
    </row>
    <row r="44" spans="1:17" x14ac:dyDescent="0.25">
      <c r="B44" t="s">
        <v>507</v>
      </c>
      <c r="C44" s="4">
        <v>2338.04</v>
      </c>
      <c r="D44" s="43">
        <v>684</v>
      </c>
      <c r="E44" s="8">
        <f>C44*D44</f>
        <v>1599219.3599999999</v>
      </c>
      <c r="F44" s="9">
        <f>E44/G33</f>
        <v>2.1459605185730039E-2</v>
      </c>
      <c r="G44" s="8">
        <f>J33*F44</f>
        <v>958505.75718167005</v>
      </c>
      <c r="H44" s="8">
        <f>B38*F44</f>
        <v>17313.640323393553</v>
      </c>
      <c r="I44" s="8">
        <v>0</v>
      </c>
      <c r="J44" s="8">
        <f t="shared" ref="J44:J47" si="0">(SUM(G44:H44)/(D44+H50))+I44</f>
        <v>1412.1843668669517</v>
      </c>
      <c r="K44" s="291">
        <f>$I$7</f>
        <v>5.0519597889028978</v>
      </c>
    </row>
    <row r="45" spans="1:17" x14ac:dyDescent="0.25">
      <c r="B45" t="s">
        <v>508</v>
      </c>
      <c r="C45" s="4">
        <v>1692.14</v>
      </c>
      <c r="D45" s="43">
        <v>608</v>
      </c>
      <c r="E45" s="8">
        <f>C45*D45</f>
        <v>1028821.1200000001</v>
      </c>
      <c r="F45" s="9">
        <f>E45/G33</f>
        <v>1.3805545126680177E-2</v>
      </c>
      <c r="G45" s="8">
        <f>J33*F45</f>
        <v>616632.70924264833</v>
      </c>
      <c r="H45" s="8">
        <f>B38*F45</f>
        <v>11138.33366098752</v>
      </c>
      <c r="I45" s="8">
        <v>0</v>
      </c>
      <c r="J45" s="8">
        <f t="shared" si="0"/>
        <v>1020.7659234205462</v>
      </c>
      <c r="K45" s="291">
        <f>$I$7</f>
        <v>5.0519597889028978</v>
      </c>
    </row>
    <row r="46" spans="1:17" x14ac:dyDescent="0.25">
      <c r="B46" t="s">
        <v>509</v>
      </c>
      <c r="C46" s="4">
        <v>2506.31</v>
      </c>
      <c r="D46" s="43">
        <v>1073</v>
      </c>
      <c r="E46" s="8">
        <f>C46*D46</f>
        <v>2689270.63</v>
      </c>
      <c r="F46" s="9">
        <f>E46/G33</f>
        <v>3.6086785465991041E-2</v>
      </c>
      <c r="G46" s="8">
        <f>J33*F46</f>
        <v>1611837.2788299518</v>
      </c>
      <c r="H46" s="8">
        <f>B38*F46</f>
        <v>29114.870407825718</v>
      </c>
      <c r="I46" s="8">
        <v>0</v>
      </c>
      <c r="J46" s="8">
        <f t="shared" si="0"/>
        <v>1512.3982942283665</v>
      </c>
      <c r="K46" s="291">
        <f>$I$7</f>
        <v>5.0519597889028978</v>
      </c>
    </row>
    <row r="47" spans="1:17" x14ac:dyDescent="0.25">
      <c r="B47" t="s">
        <v>497</v>
      </c>
      <c r="C47" s="4">
        <v>3560.99</v>
      </c>
      <c r="D47" s="314">
        <v>5929</v>
      </c>
      <c r="E47" s="8">
        <f>C47*D47</f>
        <v>21113109.709999997</v>
      </c>
      <c r="F47" s="9">
        <f>E47/G33</f>
        <v>0.28331260235594147</v>
      </c>
      <c r="G47" s="8">
        <f>J33*F47</f>
        <v>12654322.299501939</v>
      </c>
      <c r="H47" s="8">
        <f>B38*F47</f>
        <v>228577.01499266987</v>
      </c>
      <c r="I47" s="8">
        <v>0</v>
      </c>
      <c r="J47" s="8">
        <f t="shared" si="0"/>
        <v>2149.6578198722855</v>
      </c>
      <c r="K47" s="291">
        <f>$I$7</f>
        <v>5.0519597889028978</v>
      </c>
    </row>
    <row r="48" spans="1:17" x14ac:dyDescent="0.25">
      <c r="D48" s="43">
        <f>SUM(D43:D47)</f>
        <v>37138</v>
      </c>
      <c r="H48" t="s">
        <v>560</v>
      </c>
    </row>
    <row r="49" spans="3:8" x14ac:dyDescent="0.25">
      <c r="C49" s="298"/>
      <c r="H49">
        <f>ROUND(H43/C43,0)</f>
        <v>312</v>
      </c>
    </row>
    <row r="50" spans="3:8" x14ac:dyDescent="0.25">
      <c r="C50" s="298"/>
      <c r="H50">
        <f t="shared" ref="H50:H53" si="1">ROUND(H44/C44,0)</f>
        <v>7</v>
      </c>
    </row>
    <row r="51" spans="3:8" x14ac:dyDescent="0.25">
      <c r="C51" s="298"/>
      <c r="H51">
        <f t="shared" si="1"/>
        <v>7</v>
      </c>
    </row>
    <row r="52" spans="3:8" x14ac:dyDescent="0.25">
      <c r="C52" s="298"/>
      <c r="H52">
        <f t="shared" si="1"/>
        <v>12</v>
      </c>
    </row>
    <row r="53" spans="3:8" x14ac:dyDescent="0.25">
      <c r="C53" s="298"/>
      <c r="H53" s="297">
        <f t="shared" si="1"/>
        <v>64</v>
      </c>
    </row>
    <row r="54" spans="3:8" x14ac:dyDescent="0.25">
      <c r="C54" s="298"/>
      <c r="H54">
        <f>SUM(H49:H53)</f>
        <v>402</v>
      </c>
    </row>
  </sheetData>
  <mergeCells count="4">
    <mergeCell ref="L1:L2"/>
    <mergeCell ref="I1:I2"/>
    <mergeCell ref="H1:H2"/>
    <mergeCell ref="K1:K2"/>
  </mergeCells>
  <pageMargins left="1" right="1" top="1" bottom="1.75" header="0.5" footer="0.5"/>
  <pageSetup scale="45" fitToHeight="0" orientation="landscape" r:id="rId1"/>
  <headerFooter scaleWithDoc="0">
    <oddFooter xml:space="preserve">&amp;R&amp;"Times New Roman,Bold"&amp;12 Case No. 2018-00295
Attachment to Response to PSC-2 Question No. 29a-b
Page &amp;P of &amp;N
Seelye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029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4D213286-7283-42C2-9FD6-2DE6B2725EBC}"/>
</file>

<file path=customXml/itemProps2.xml><?xml version="1.0" encoding="utf-8"?>
<ds:datastoreItem xmlns:ds="http://schemas.openxmlformats.org/officeDocument/2006/customXml" ds:itemID="{9E041204-7496-4B3F-87E9-37B277C10FBF}"/>
</file>

<file path=customXml/itemProps3.xml><?xml version="1.0" encoding="utf-8"?>
<ds:datastoreItem xmlns:ds="http://schemas.openxmlformats.org/officeDocument/2006/customXml" ds:itemID="{7D9C59CB-1CDB-4FFC-AE98-243DD660FA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LS Summary</vt:lpstr>
      <vt:lpstr>Overhead Lights</vt:lpstr>
      <vt:lpstr>Underground Lights</vt:lpstr>
      <vt:lpstr>ECR FAC</vt:lpstr>
      <vt:lpstr>Fixed Carrying Cost</vt:lpstr>
      <vt:lpstr>Forecasted Lights</vt:lpstr>
      <vt:lpstr>Materials+LaborUnits</vt:lpstr>
      <vt:lpstr>Materials</vt:lpstr>
      <vt:lpstr>Maintenance &amp; NBV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2018-11-21T21:14:44Z</dcterms:created>
  <dcterms:modified xsi:type="dcterms:W3CDTF">2018-11-21T21:20:17Z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